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6b4d80ce760907/Documenten/VvE/AAA documenten download/MJOB/"/>
    </mc:Choice>
  </mc:AlternateContent>
  <xr:revisionPtr revIDLastSave="1092" documentId="8_{8D2C88A8-34F0-459F-9D8E-21C80932A1A7}" xr6:coauthVersionLast="47" xr6:coauthVersionMax="47" xr10:uidLastSave="{B7D30B03-8186-4BDD-9727-8A41586578AD}"/>
  <bookViews>
    <workbookView xWindow="-120" yWindow="-120" windowWidth="29040" windowHeight="15720" activeTab="1" xr2:uid="{6D070D05-C8F3-4DAE-9F36-83A622FBD4BD}"/>
  </bookViews>
  <sheets>
    <sheet name="Uitgaven per fonds" sheetId="9" r:id="rId1"/>
    <sheet name="Dotatie per fonds" sheetId="11" r:id="rId2"/>
    <sheet name="Ledenbijdragen" sheetId="8" r:id="rId3"/>
    <sheet name="Basisblad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1" l="1"/>
  <c r="T3" i="8"/>
  <c r="E6" i="11"/>
  <c r="H3" i="8"/>
  <c r="E5" i="11"/>
  <c r="E3" i="8"/>
  <c r="E4" i="11"/>
  <c r="B3" i="8"/>
  <c r="C14" i="11"/>
  <c r="H7" i="9"/>
  <c r="H8" i="9"/>
  <c r="H9" i="9"/>
  <c r="H10" i="9"/>
  <c r="H11" i="9"/>
  <c r="H13" i="9"/>
  <c r="H14" i="9"/>
  <c r="H15" i="9"/>
  <c r="G16" i="9"/>
  <c r="H16" i="9" s="1"/>
  <c r="O16" i="9" s="1"/>
  <c r="V16" i="9" s="1"/>
  <c r="H17" i="9"/>
  <c r="D10" i="11"/>
  <c r="D15" i="11"/>
  <c r="I11" i="9"/>
  <c r="I13" i="9"/>
  <c r="I14" i="9"/>
  <c r="I16" i="9"/>
  <c r="I17" i="9"/>
  <c r="C22" i="11"/>
  <c r="H22" i="9"/>
  <c r="H23" i="9"/>
  <c r="H24" i="9"/>
  <c r="H25" i="9"/>
  <c r="H27" i="9"/>
  <c r="H28" i="9"/>
  <c r="H29" i="9"/>
  <c r="H31" i="9"/>
  <c r="H32" i="9"/>
  <c r="H34" i="9"/>
  <c r="H35" i="9"/>
  <c r="H36" i="9"/>
  <c r="H37" i="9"/>
  <c r="D23" i="11"/>
  <c r="I34" i="9"/>
  <c r="C30" i="11"/>
  <c r="H41" i="9"/>
  <c r="H43" i="9" s="1"/>
  <c r="C28" i="11" s="1"/>
  <c r="C29" i="11" s="1"/>
  <c r="C32" i="11" s="1"/>
  <c r="C33" i="11" s="1"/>
  <c r="D30" i="11" s="1"/>
  <c r="H42" i="9"/>
  <c r="D31" i="11"/>
  <c r="I41" i="9"/>
  <c r="C38" i="11"/>
  <c r="G47" i="9"/>
  <c r="H47" i="9"/>
  <c r="H48" i="9"/>
  <c r="G50" i="9"/>
  <c r="H50" i="9" s="1"/>
  <c r="H51" i="9"/>
  <c r="H53" i="9"/>
  <c r="H54" i="9"/>
  <c r="D39" i="11"/>
  <c r="E10" i="11"/>
  <c r="E15" i="11"/>
  <c r="E23" i="11"/>
  <c r="G22" i="9"/>
  <c r="G23" i="9"/>
  <c r="G34" i="9"/>
  <c r="E31" i="11"/>
  <c r="E39" i="11"/>
  <c r="F10" i="11"/>
  <c r="F15" i="11"/>
  <c r="F23" i="11"/>
  <c r="F31" i="11"/>
  <c r="F39" i="11"/>
  <c r="G10" i="11"/>
  <c r="G15" i="11"/>
  <c r="G23" i="11"/>
  <c r="G31" i="11"/>
  <c r="G39" i="11"/>
  <c r="H10" i="11"/>
  <c r="H15" i="11"/>
  <c r="H23" i="11"/>
  <c r="H31" i="11"/>
  <c r="G41" i="9"/>
  <c r="H39" i="11"/>
  <c r="M50" i="9"/>
  <c r="R50" i="9" s="1"/>
  <c r="I10" i="11"/>
  <c r="I15" i="11"/>
  <c r="I23" i="11"/>
  <c r="G28" i="9"/>
  <c r="G35" i="9"/>
  <c r="I31" i="11"/>
  <c r="I39" i="11"/>
  <c r="G48" i="9"/>
  <c r="G54" i="9"/>
  <c r="J10" i="11"/>
  <c r="J15" i="11"/>
  <c r="G14" i="9"/>
  <c r="J23" i="11"/>
  <c r="J31" i="11"/>
  <c r="J39" i="11"/>
  <c r="K10" i="11"/>
  <c r="K15" i="11"/>
  <c r="K23" i="11"/>
  <c r="K31" i="11"/>
  <c r="K39" i="11"/>
  <c r="L10" i="11"/>
  <c r="L15" i="11"/>
  <c r="G15" i="9"/>
  <c r="L23" i="11"/>
  <c r="G32" i="9"/>
  <c r="L31" i="11"/>
  <c r="L39" i="11"/>
  <c r="M10" i="11"/>
  <c r="M15" i="11"/>
  <c r="M23" i="11"/>
  <c r="M31" i="11"/>
  <c r="M39" i="11"/>
  <c r="N10" i="11"/>
  <c r="N15" i="11"/>
  <c r="N23" i="11"/>
  <c r="G36" i="9"/>
  <c r="N31" i="11"/>
  <c r="N39" i="11"/>
  <c r="O10" i="11"/>
  <c r="O15" i="11"/>
  <c r="O23" i="11"/>
  <c r="G24" i="9"/>
  <c r="G25" i="9"/>
  <c r="G29" i="9"/>
  <c r="O31" i="11"/>
  <c r="G42" i="9"/>
  <c r="O39" i="11"/>
  <c r="G53" i="9"/>
  <c r="P10" i="11"/>
  <c r="P15" i="11"/>
  <c r="P23" i="11"/>
  <c r="P31" i="11"/>
  <c r="P39" i="11"/>
  <c r="Q10" i="11"/>
  <c r="Q15" i="11"/>
  <c r="Q23" i="11"/>
  <c r="Q31" i="11"/>
  <c r="Q39" i="11"/>
  <c r="R10" i="11"/>
  <c r="R15" i="11"/>
  <c r="R23" i="11"/>
  <c r="R31" i="11"/>
  <c r="R39" i="11"/>
  <c r="W50" i="9"/>
  <c r="S10" i="11"/>
  <c r="S15" i="11"/>
  <c r="S23" i="11"/>
  <c r="G37" i="9"/>
  <c r="S31" i="11"/>
  <c r="S39" i="11"/>
  <c r="T10" i="11"/>
  <c r="T15" i="11"/>
  <c r="G7" i="9"/>
  <c r="G9" i="9"/>
  <c r="G17" i="9"/>
  <c r="T23" i="11"/>
  <c r="G31" i="9"/>
  <c r="T31" i="11"/>
  <c r="T39" i="11"/>
  <c r="G51" i="9"/>
  <c r="U10" i="11"/>
  <c r="U15" i="11"/>
  <c r="U23" i="11"/>
  <c r="U31" i="11"/>
  <c r="U39" i="11"/>
  <c r="V10" i="11"/>
  <c r="V15" i="11"/>
  <c r="V23" i="11"/>
  <c r="V31" i="11"/>
  <c r="V39" i="11"/>
  <c r="F7" i="11"/>
  <c r="F6" i="11"/>
  <c r="F5" i="11"/>
  <c r="F4" i="11"/>
  <c r="F8" i="11"/>
  <c r="E8" i="11"/>
  <c r="D8" i="11"/>
  <c r="C8" i="11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I3" i="9"/>
  <c r="H4" i="9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58" i="8"/>
  <c r="AC59" i="8"/>
  <c r="AC60" i="8"/>
  <c r="AC61" i="8"/>
  <c r="AC62" i="8"/>
  <c r="AC63" i="8"/>
  <c r="AC64" i="8"/>
  <c r="AC65" i="8"/>
  <c r="AC66" i="8"/>
  <c r="AC67" i="8"/>
  <c r="AC68" i="8"/>
  <c r="AC69" i="8"/>
  <c r="AC70" i="8"/>
  <c r="AC71" i="8"/>
  <c r="AC72" i="8"/>
  <c r="AC73" i="8"/>
  <c r="AC74" i="8"/>
  <c r="AC75" i="8"/>
  <c r="AC76" i="8"/>
  <c r="AC77" i="8"/>
  <c r="AC78" i="8"/>
  <c r="AC79" i="8"/>
  <c r="AC80" i="8"/>
  <c r="AC81" i="8"/>
  <c r="AC82" i="8"/>
  <c r="AC83" i="8"/>
  <c r="AC84" i="8"/>
  <c r="AC85" i="8"/>
  <c r="AC86" i="8"/>
  <c r="AC87" i="8"/>
  <c r="AC88" i="8"/>
  <c r="AC89" i="8"/>
  <c r="AC90" i="8"/>
  <c r="AC91" i="8"/>
  <c r="AC92" i="8"/>
  <c r="AC93" i="8"/>
  <c r="AC94" i="8"/>
  <c r="AC95" i="8"/>
  <c r="AC96" i="8"/>
  <c r="AC97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61" i="8"/>
  <c r="AB62" i="8"/>
  <c r="AB63" i="8"/>
  <c r="AB64" i="8"/>
  <c r="AB65" i="8"/>
  <c r="AB66" i="8"/>
  <c r="AB67" i="8"/>
  <c r="AB68" i="8"/>
  <c r="AB69" i="8"/>
  <c r="AB70" i="8"/>
  <c r="AB71" i="8"/>
  <c r="AB72" i="8"/>
  <c r="AB73" i="8"/>
  <c r="AB74" i="8"/>
  <c r="AB75" i="8"/>
  <c r="AB76" i="8"/>
  <c r="AB77" i="8"/>
  <c r="AB78" i="8"/>
  <c r="AB79" i="8"/>
  <c r="AB80" i="8"/>
  <c r="AB81" i="8"/>
  <c r="AB82" i="8"/>
  <c r="AB83" i="8"/>
  <c r="AB84" i="8"/>
  <c r="AB85" i="8"/>
  <c r="AB86" i="8"/>
  <c r="AB87" i="8"/>
  <c r="AB88" i="8"/>
  <c r="AB89" i="8"/>
  <c r="AB90" i="8"/>
  <c r="AB91" i="8"/>
  <c r="AB92" i="8"/>
  <c r="AB93" i="8"/>
  <c r="AB94" i="8"/>
  <c r="AB95" i="8"/>
  <c r="AB96" i="8"/>
  <c r="AB97" i="8"/>
  <c r="AA101" i="8"/>
  <c r="AA102" i="8"/>
  <c r="K5" i="8"/>
  <c r="N5" i="8"/>
  <c r="Q5" i="8"/>
  <c r="K6" i="8"/>
  <c r="N6" i="8"/>
  <c r="Q6" i="8"/>
  <c r="K7" i="8"/>
  <c r="N7" i="8"/>
  <c r="Q7" i="8"/>
  <c r="K8" i="8"/>
  <c r="N8" i="8"/>
  <c r="Q8" i="8"/>
  <c r="K9" i="8"/>
  <c r="N9" i="8"/>
  <c r="Q9" i="8"/>
  <c r="K10" i="8"/>
  <c r="N10" i="8"/>
  <c r="Q10" i="8"/>
  <c r="K11" i="8"/>
  <c r="N11" i="8"/>
  <c r="Q11" i="8"/>
  <c r="K12" i="8"/>
  <c r="N12" i="8"/>
  <c r="Q12" i="8"/>
  <c r="K13" i="8"/>
  <c r="N13" i="8"/>
  <c r="Q13" i="8"/>
  <c r="K14" i="8"/>
  <c r="N14" i="8"/>
  <c r="Q14" i="8"/>
  <c r="K15" i="8"/>
  <c r="N15" i="8"/>
  <c r="Q15" i="8"/>
  <c r="K16" i="8"/>
  <c r="N16" i="8"/>
  <c r="Q16" i="8"/>
  <c r="K17" i="8"/>
  <c r="N17" i="8"/>
  <c r="Q17" i="8"/>
  <c r="K18" i="8"/>
  <c r="N18" i="8"/>
  <c r="Q18" i="8"/>
  <c r="K19" i="8"/>
  <c r="N19" i="8"/>
  <c r="Q19" i="8"/>
  <c r="K20" i="8"/>
  <c r="N20" i="8"/>
  <c r="Q20" i="8"/>
  <c r="K21" i="8"/>
  <c r="N21" i="8"/>
  <c r="Q21" i="8"/>
  <c r="K22" i="8"/>
  <c r="N22" i="8"/>
  <c r="Q22" i="8"/>
  <c r="K23" i="8"/>
  <c r="N23" i="8"/>
  <c r="Q23" i="8"/>
  <c r="K24" i="8"/>
  <c r="N24" i="8"/>
  <c r="Q24" i="8"/>
  <c r="K25" i="8"/>
  <c r="N25" i="8"/>
  <c r="Q25" i="8"/>
  <c r="K26" i="8"/>
  <c r="N26" i="8"/>
  <c r="Q26" i="8"/>
  <c r="K27" i="8"/>
  <c r="N27" i="8"/>
  <c r="Q27" i="8"/>
  <c r="K28" i="8"/>
  <c r="N28" i="8"/>
  <c r="Q28" i="8"/>
  <c r="K29" i="8"/>
  <c r="N29" i="8"/>
  <c r="Q29" i="8"/>
  <c r="K30" i="8"/>
  <c r="N30" i="8"/>
  <c r="Q30" i="8"/>
  <c r="K31" i="8"/>
  <c r="N31" i="8"/>
  <c r="Q31" i="8"/>
  <c r="K32" i="8"/>
  <c r="N32" i="8"/>
  <c r="Q32" i="8"/>
  <c r="K33" i="8"/>
  <c r="N33" i="8"/>
  <c r="Q33" i="8"/>
  <c r="K34" i="8"/>
  <c r="N34" i="8"/>
  <c r="Q34" i="8"/>
  <c r="K35" i="8"/>
  <c r="N35" i="8"/>
  <c r="Q35" i="8"/>
  <c r="K36" i="8"/>
  <c r="N36" i="8"/>
  <c r="Q36" i="8"/>
  <c r="K37" i="8"/>
  <c r="N37" i="8"/>
  <c r="Q37" i="8"/>
  <c r="K38" i="8"/>
  <c r="N38" i="8"/>
  <c r="Q38" i="8"/>
  <c r="K39" i="8"/>
  <c r="N39" i="8"/>
  <c r="Q39" i="8"/>
  <c r="K40" i="8"/>
  <c r="N40" i="8"/>
  <c r="Q40" i="8"/>
  <c r="K41" i="8"/>
  <c r="N41" i="8"/>
  <c r="Q41" i="8"/>
  <c r="K42" i="8"/>
  <c r="N42" i="8"/>
  <c r="Q42" i="8"/>
  <c r="K43" i="8"/>
  <c r="N43" i="8"/>
  <c r="Q43" i="8"/>
  <c r="K44" i="8"/>
  <c r="N44" i="8"/>
  <c r="Q44" i="8"/>
  <c r="K45" i="8"/>
  <c r="N45" i="8"/>
  <c r="Q45" i="8"/>
  <c r="K46" i="8"/>
  <c r="N46" i="8"/>
  <c r="Q46" i="8"/>
  <c r="K47" i="8"/>
  <c r="N47" i="8"/>
  <c r="Q47" i="8"/>
  <c r="K48" i="8"/>
  <c r="N48" i="8"/>
  <c r="Q48" i="8"/>
  <c r="K49" i="8"/>
  <c r="N49" i="8"/>
  <c r="Q49" i="8"/>
  <c r="K50" i="8"/>
  <c r="N50" i="8"/>
  <c r="Q50" i="8"/>
  <c r="K51" i="8"/>
  <c r="N51" i="8"/>
  <c r="Q51" i="8"/>
  <c r="K52" i="8"/>
  <c r="N52" i="8"/>
  <c r="Q52" i="8"/>
  <c r="K53" i="8"/>
  <c r="N53" i="8"/>
  <c r="Q53" i="8"/>
  <c r="K54" i="8"/>
  <c r="N54" i="8"/>
  <c r="Q54" i="8"/>
  <c r="K55" i="8"/>
  <c r="N55" i="8"/>
  <c r="Q55" i="8"/>
  <c r="K56" i="8"/>
  <c r="N56" i="8"/>
  <c r="Q56" i="8"/>
  <c r="K57" i="8"/>
  <c r="N57" i="8"/>
  <c r="Q57" i="8"/>
  <c r="K58" i="8"/>
  <c r="N58" i="8"/>
  <c r="Q58" i="8"/>
  <c r="K59" i="8"/>
  <c r="N59" i="8"/>
  <c r="Q59" i="8"/>
  <c r="K60" i="8"/>
  <c r="N60" i="8"/>
  <c r="Q60" i="8"/>
  <c r="K61" i="8"/>
  <c r="N61" i="8"/>
  <c r="Q61" i="8"/>
  <c r="K62" i="8"/>
  <c r="N62" i="8"/>
  <c r="Q62" i="8"/>
  <c r="K63" i="8"/>
  <c r="N63" i="8"/>
  <c r="Q63" i="8"/>
  <c r="K64" i="8"/>
  <c r="N64" i="8"/>
  <c r="Q64" i="8"/>
  <c r="K65" i="8"/>
  <c r="N65" i="8"/>
  <c r="Q65" i="8"/>
  <c r="K66" i="8"/>
  <c r="N66" i="8"/>
  <c r="Q66" i="8"/>
  <c r="K67" i="8"/>
  <c r="N67" i="8"/>
  <c r="Q67" i="8"/>
  <c r="K68" i="8"/>
  <c r="N68" i="8"/>
  <c r="Q68" i="8"/>
  <c r="K69" i="8"/>
  <c r="N69" i="8"/>
  <c r="Q69" i="8"/>
  <c r="K70" i="8"/>
  <c r="N70" i="8"/>
  <c r="Q70" i="8"/>
  <c r="K71" i="8"/>
  <c r="N71" i="8"/>
  <c r="Q71" i="8"/>
  <c r="K72" i="8"/>
  <c r="N72" i="8"/>
  <c r="Q72" i="8"/>
  <c r="K73" i="8"/>
  <c r="N73" i="8"/>
  <c r="Q73" i="8"/>
  <c r="K74" i="8"/>
  <c r="N74" i="8"/>
  <c r="Q74" i="8"/>
  <c r="K75" i="8"/>
  <c r="N75" i="8"/>
  <c r="Q75" i="8"/>
  <c r="K76" i="8"/>
  <c r="N76" i="8"/>
  <c r="Q76" i="8"/>
  <c r="K77" i="8"/>
  <c r="N77" i="8"/>
  <c r="Q77" i="8"/>
  <c r="K78" i="8"/>
  <c r="N78" i="8"/>
  <c r="Q78" i="8"/>
  <c r="K79" i="8"/>
  <c r="N79" i="8"/>
  <c r="Q79" i="8"/>
  <c r="K80" i="8"/>
  <c r="N80" i="8"/>
  <c r="Q80" i="8"/>
  <c r="K81" i="8"/>
  <c r="N81" i="8"/>
  <c r="Q81" i="8"/>
  <c r="K82" i="8"/>
  <c r="N82" i="8"/>
  <c r="Q82" i="8"/>
  <c r="K83" i="8"/>
  <c r="N83" i="8"/>
  <c r="Q83" i="8"/>
  <c r="K84" i="8"/>
  <c r="N84" i="8"/>
  <c r="Q84" i="8"/>
  <c r="K85" i="8"/>
  <c r="N85" i="8"/>
  <c r="Q85" i="8"/>
  <c r="K86" i="8"/>
  <c r="N86" i="8"/>
  <c r="Q86" i="8"/>
  <c r="K87" i="8"/>
  <c r="N87" i="8"/>
  <c r="Q87" i="8"/>
  <c r="K88" i="8"/>
  <c r="N88" i="8"/>
  <c r="Q88" i="8"/>
  <c r="K89" i="8"/>
  <c r="N89" i="8"/>
  <c r="Q89" i="8"/>
  <c r="K90" i="8"/>
  <c r="N90" i="8"/>
  <c r="Q90" i="8"/>
  <c r="K91" i="8"/>
  <c r="N91" i="8"/>
  <c r="Q91" i="8"/>
  <c r="K92" i="8"/>
  <c r="N92" i="8"/>
  <c r="Q92" i="8"/>
  <c r="K93" i="8"/>
  <c r="N93" i="8"/>
  <c r="Q93" i="8"/>
  <c r="K94" i="8"/>
  <c r="N94" i="8"/>
  <c r="Q94" i="8"/>
  <c r="K95" i="8"/>
  <c r="N95" i="8"/>
  <c r="Q95" i="8"/>
  <c r="K96" i="8"/>
  <c r="N96" i="8"/>
  <c r="Q96" i="8"/>
  <c r="K97" i="8"/>
  <c r="N97" i="8"/>
  <c r="Q97" i="8"/>
  <c r="K98" i="8"/>
  <c r="N98" i="8"/>
  <c r="Q98" i="8"/>
  <c r="K99" i="8"/>
  <c r="N99" i="8"/>
  <c r="Q99" i="8"/>
  <c r="K100" i="8"/>
  <c r="N100" i="8"/>
  <c r="Q100" i="8"/>
  <c r="L101" i="8"/>
  <c r="O101" i="8"/>
  <c r="R101" i="8"/>
  <c r="U101" i="8"/>
  <c r="I101" i="8"/>
  <c r="F101" i="8"/>
  <c r="C101" i="8"/>
  <c r="Y97" i="8"/>
  <c r="Y96" i="8"/>
  <c r="Y95" i="8"/>
  <c r="Y94" i="8"/>
  <c r="Y93" i="8"/>
  <c r="Y92" i="8"/>
  <c r="Y91" i="8"/>
  <c r="Y90" i="8"/>
  <c r="Y89" i="8"/>
  <c r="Y88" i="8"/>
  <c r="Y87" i="8"/>
  <c r="Y86" i="8"/>
  <c r="Y85" i="8"/>
  <c r="Y84" i="8"/>
  <c r="Y83" i="8"/>
  <c r="Y82" i="8"/>
  <c r="Y81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N19" i="1"/>
  <c r="W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18" i="1"/>
  <c r="O18" i="1"/>
  <c r="N17" i="1"/>
  <c r="O17" i="1"/>
  <c r="N16" i="1"/>
  <c r="O16" i="1"/>
  <c r="R146" i="1"/>
  <c r="S143" i="1" s="1"/>
  <c r="S146" i="1" s="1"/>
  <c r="T143" i="1" s="1"/>
  <c r="T146" i="1" s="1"/>
  <c r="U143" i="1" s="1"/>
  <c r="U146" i="1" s="1"/>
  <c r="V143" i="1" s="1"/>
  <c r="V146" i="1" s="1"/>
  <c r="W143" i="1" s="1"/>
  <c r="W146" i="1" s="1"/>
  <c r="X143" i="1" s="1"/>
  <c r="X146" i="1" s="1"/>
  <c r="Y143" i="1" s="1"/>
  <c r="Y146" i="1" s="1"/>
  <c r="Z143" i="1" s="1"/>
  <c r="Z146" i="1" s="1"/>
  <c r="AA143" i="1" s="1"/>
  <c r="AA146" i="1" s="1"/>
  <c r="AB143" i="1" s="1"/>
  <c r="AB146" i="1" s="1"/>
  <c r="AC143" i="1" s="1"/>
  <c r="AC146" i="1" s="1"/>
  <c r="AD143" i="1" s="1"/>
  <c r="AD146" i="1" s="1"/>
  <c r="AE143" i="1" s="1"/>
  <c r="AE146" i="1" s="1"/>
  <c r="AF143" i="1" s="1"/>
  <c r="AF146" i="1" s="1"/>
  <c r="AG143" i="1" s="1"/>
  <c r="AG146" i="1" s="1"/>
  <c r="AH143" i="1" s="1"/>
  <c r="AH146" i="1" s="1"/>
  <c r="AI143" i="1" s="1"/>
  <c r="AI146" i="1" s="1"/>
  <c r="AJ143" i="1" s="1"/>
  <c r="AJ146" i="1" s="1"/>
  <c r="AK143" i="1" s="1"/>
  <c r="AK146" i="1" s="1"/>
  <c r="AL143" i="1" s="1"/>
  <c r="AL146" i="1" s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B138" i="1"/>
  <c r="AA138" i="1"/>
  <c r="R138" i="1"/>
  <c r="S137" i="1"/>
  <c r="AB137" i="1"/>
  <c r="AA137" i="1"/>
  <c r="U137" i="1"/>
  <c r="AB136" i="1"/>
  <c r="AA136" i="1"/>
  <c r="V136" i="1"/>
  <c r="AB135" i="1"/>
  <c r="AA135" i="1"/>
  <c r="V135" i="1"/>
  <c r="U135" i="1"/>
  <c r="T135" i="1"/>
  <c r="T138" i="1"/>
  <c r="R126" i="1"/>
  <c r="R125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L117" i="1"/>
  <c r="AL118" i="1"/>
  <c r="AL122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R118" i="1"/>
  <c r="R122" i="1"/>
  <c r="R123" i="1"/>
  <c r="S120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L107" i="1"/>
  <c r="AL108" i="1"/>
  <c r="AL112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R108" i="1"/>
  <c r="R112" i="1"/>
  <c r="R113" i="1"/>
  <c r="S110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S106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L97" i="1"/>
  <c r="AL98" i="1"/>
  <c r="AL102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R98" i="1"/>
  <c r="R102" i="1"/>
  <c r="R103" i="1"/>
  <c r="S100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S96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V87" i="1"/>
  <c r="U87" i="1"/>
  <c r="T87" i="1"/>
  <c r="T128" i="1"/>
  <c r="S87" i="1"/>
  <c r="R87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S82" i="1"/>
  <c r="T82" i="1"/>
  <c r="AU80" i="1"/>
  <c r="AT80" i="1"/>
  <c r="AS80" i="1"/>
  <c r="AR80" i="1"/>
  <c r="AQ80" i="1"/>
  <c r="AP80" i="1"/>
  <c r="AO80" i="1"/>
  <c r="AN80" i="1"/>
  <c r="AL81" i="1"/>
  <c r="AM80" i="1"/>
  <c r="AL80" i="1"/>
  <c r="AL83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V80" i="1"/>
  <c r="U80" i="1"/>
  <c r="T80" i="1"/>
  <c r="S80" i="1"/>
  <c r="R80" i="1"/>
  <c r="R83" i="1"/>
  <c r="AY51" i="1"/>
  <c r="AX51" i="1"/>
  <c r="AV51" i="1"/>
  <c r="L51" i="1"/>
  <c r="AY50" i="1"/>
  <c r="AX50" i="1"/>
  <c r="AV50" i="1"/>
  <c r="L50" i="1"/>
  <c r="AY49" i="1"/>
  <c r="AX49" i="1"/>
  <c r="AV49" i="1"/>
  <c r="AV80" i="1"/>
  <c r="L49" i="1"/>
  <c r="AA128" i="1"/>
  <c r="AE128" i="1"/>
  <c r="AI128" i="1"/>
  <c r="AC137" i="1"/>
  <c r="S128" i="1"/>
  <c r="X128" i="1"/>
  <c r="AB128" i="1"/>
  <c r="AF128" i="1"/>
  <c r="AJ128" i="1"/>
  <c r="AC136" i="1"/>
  <c r="T83" i="1"/>
  <c r="U138" i="1"/>
  <c r="O19" i="1"/>
  <c r="W137" i="1"/>
  <c r="X137" i="1"/>
  <c r="W87" i="1"/>
  <c r="W128" i="1"/>
  <c r="W80" i="1"/>
  <c r="Y128" i="1"/>
  <c r="AC135" i="1"/>
  <c r="R128" i="1"/>
  <c r="V128" i="1"/>
  <c r="Z128" i="1"/>
  <c r="AD128" i="1"/>
  <c r="AH128" i="1"/>
  <c r="AL128" i="1"/>
  <c r="S108" i="1"/>
  <c r="R88" i="1"/>
  <c r="R129" i="1"/>
  <c r="R145" i="1"/>
  <c r="V138" i="1"/>
  <c r="AA139" i="1"/>
  <c r="AC138" i="1"/>
  <c r="U82" i="1"/>
  <c r="U83" i="1"/>
  <c r="T98" i="1"/>
  <c r="T102" i="1"/>
  <c r="S83" i="1"/>
  <c r="U128" i="1"/>
  <c r="AC128" i="1"/>
  <c r="AG128" i="1"/>
  <c r="AK128" i="1"/>
  <c r="S88" i="1"/>
  <c r="AL88" i="1"/>
  <c r="S112" i="1"/>
  <c r="S113" i="1"/>
  <c r="T110" i="1"/>
  <c r="AM107" i="1"/>
  <c r="T118" i="1"/>
  <c r="T122" i="1"/>
  <c r="T108" i="1"/>
  <c r="T112" i="1"/>
  <c r="T88" i="1"/>
  <c r="S98" i="1"/>
  <c r="AM97" i="1"/>
  <c r="AM117" i="1"/>
  <c r="S118" i="1"/>
  <c r="S136" i="1"/>
  <c r="W136" i="1"/>
  <c r="X136" i="1"/>
  <c r="AB139" i="1"/>
  <c r="S135" i="1"/>
  <c r="AC139" i="1"/>
  <c r="U118" i="1"/>
  <c r="U122" i="1"/>
  <c r="R92" i="1"/>
  <c r="R93" i="1"/>
  <c r="S90" i="1"/>
  <c r="T113" i="1"/>
  <c r="U110" i="1"/>
  <c r="AM87" i="1"/>
  <c r="AM128" i="1"/>
  <c r="AL129" i="1"/>
  <c r="AL145" i="1"/>
  <c r="AL92" i="1"/>
  <c r="S138" i="1"/>
  <c r="W138" i="1"/>
  <c r="X138" i="1"/>
  <c r="W135" i="1"/>
  <c r="X135" i="1"/>
  <c r="S122" i="1"/>
  <c r="S123" i="1"/>
  <c r="T120" i="1"/>
  <c r="T123" i="1"/>
  <c r="U120" i="1"/>
  <c r="U123" i="1"/>
  <c r="V120" i="1"/>
  <c r="S102" i="1"/>
  <c r="S103" i="1"/>
  <c r="T100" i="1"/>
  <c r="T103" i="1"/>
  <c r="U100" i="1"/>
  <c r="T129" i="1"/>
  <c r="T145" i="1"/>
  <c r="T92" i="1"/>
  <c r="V82" i="1"/>
  <c r="U108" i="1"/>
  <c r="U112" i="1"/>
  <c r="U88" i="1"/>
  <c r="S129" i="1"/>
  <c r="S92" i="1"/>
  <c r="S93" i="1"/>
  <c r="T90" i="1"/>
  <c r="T93" i="1"/>
  <c r="U90" i="1"/>
  <c r="U98" i="1"/>
  <c r="U102" i="1"/>
  <c r="U113" i="1"/>
  <c r="V110" i="1"/>
  <c r="U103" i="1"/>
  <c r="V100" i="1"/>
  <c r="S145" i="1"/>
  <c r="U129" i="1"/>
  <c r="U145" i="1"/>
  <c r="U92" i="1"/>
  <c r="U93" i="1"/>
  <c r="V90" i="1"/>
  <c r="V108" i="1"/>
  <c r="V83" i="1"/>
  <c r="V88" i="1"/>
  <c r="W82" i="1"/>
  <c r="V118" i="1"/>
  <c r="V98" i="1"/>
  <c r="V122" i="1"/>
  <c r="V123" i="1"/>
  <c r="W120" i="1"/>
  <c r="V112" i="1"/>
  <c r="V113" i="1"/>
  <c r="W110" i="1"/>
  <c r="X82" i="1"/>
  <c r="W83" i="1"/>
  <c r="W108" i="1"/>
  <c r="W112" i="1"/>
  <c r="W98" i="1"/>
  <c r="W102" i="1"/>
  <c r="W118" i="1"/>
  <c r="W122" i="1"/>
  <c r="W88" i="1"/>
  <c r="V129" i="1"/>
  <c r="V92" i="1"/>
  <c r="V93" i="1"/>
  <c r="W90" i="1"/>
  <c r="V102" i="1"/>
  <c r="V103" i="1"/>
  <c r="W100" i="1"/>
  <c r="W103" i="1"/>
  <c r="X100" i="1"/>
  <c r="W129" i="1"/>
  <c r="W145" i="1"/>
  <c r="W92" i="1"/>
  <c r="W93" i="1"/>
  <c r="X90" i="1"/>
  <c r="Y82" i="1"/>
  <c r="X98" i="1"/>
  <c r="X83" i="1"/>
  <c r="X108" i="1"/>
  <c r="X112" i="1"/>
  <c r="X118" i="1"/>
  <c r="X88" i="1"/>
  <c r="W123" i="1"/>
  <c r="X120" i="1"/>
  <c r="W113" i="1"/>
  <c r="X110" i="1"/>
  <c r="V145" i="1"/>
  <c r="X129" i="1"/>
  <c r="X92" i="1"/>
  <c r="X93" i="1"/>
  <c r="Y90" i="1"/>
  <c r="X102" i="1"/>
  <c r="X103" i="1"/>
  <c r="Y100" i="1"/>
  <c r="X113" i="1"/>
  <c r="Y110" i="1"/>
  <c r="X122" i="1"/>
  <c r="X123" i="1"/>
  <c r="Y120" i="1"/>
  <c r="Y98" i="1"/>
  <c r="Y102" i="1"/>
  <c r="Y108" i="1"/>
  <c r="Y112" i="1"/>
  <c r="Z82" i="1"/>
  <c r="Y88" i="1"/>
  <c r="Y83" i="1"/>
  <c r="Y118" i="1"/>
  <c r="Y122" i="1"/>
  <c r="Y123" i="1"/>
  <c r="Z120" i="1"/>
  <c r="X145" i="1"/>
  <c r="Z88" i="1"/>
  <c r="Z83" i="1"/>
  <c r="Z108" i="1"/>
  <c r="Z112" i="1"/>
  <c r="AA82" i="1"/>
  <c r="Z98" i="1"/>
  <c r="Z102" i="1"/>
  <c r="Z118" i="1"/>
  <c r="Y129" i="1"/>
  <c r="Y145" i="1"/>
  <c r="Y92" i="1"/>
  <c r="Y93" i="1"/>
  <c r="Z90" i="1"/>
  <c r="Y113" i="1"/>
  <c r="Z110" i="1"/>
  <c r="Z113" i="1"/>
  <c r="AA110" i="1"/>
  <c r="Y103" i="1"/>
  <c r="Z100" i="1"/>
  <c r="Z103" i="1"/>
  <c r="AA100" i="1"/>
  <c r="AB82" i="1"/>
  <c r="AA83" i="1"/>
  <c r="AA88" i="1"/>
  <c r="AA108" i="1"/>
  <c r="AA112" i="1"/>
  <c r="AA113" i="1"/>
  <c r="AB110" i="1"/>
  <c r="AA98" i="1"/>
  <c r="AA118" i="1"/>
  <c r="AA122" i="1"/>
  <c r="Z122" i="1"/>
  <c r="Z123" i="1"/>
  <c r="AA120" i="1"/>
  <c r="Z129" i="1"/>
  <c r="Z145" i="1"/>
  <c r="Z92" i="1"/>
  <c r="Z93" i="1"/>
  <c r="AA90" i="1"/>
  <c r="AA123" i="1"/>
  <c r="AB120" i="1"/>
  <c r="AA129" i="1"/>
  <c r="AA92" i="1"/>
  <c r="AA93" i="1"/>
  <c r="AB90" i="1"/>
  <c r="AA102" i="1"/>
  <c r="AA103" i="1"/>
  <c r="AB100" i="1"/>
  <c r="AC82" i="1"/>
  <c r="AB98" i="1"/>
  <c r="AB102" i="1"/>
  <c r="AB83" i="1"/>
  <c r="AB118" i="1"/>
  <c r="AB122" i="1"/>
  <c r="AB123" i="1"/>
  <c r="AC120" i="1"/>
  <c r="AB108" i="1"/>
  <c r="AB112" i="1"/>
  <c r="AB113" i="1"/>
  <c r="AC110" i="1"/>
  <c r="AB88" i="1"/>
  <c r="AB129" i="1"/>
  <c r="AB145" i="1"/>
  <c r="AB92" i="1"/>
  <c r="AB93" i="1"/>
  <c r="AC90" i="1"/>
  <c r="AD82" i="1"/>
  <c r="AC108" i="1"/>
  <c r="AC112" i="1"/>
  <c r="AC113" i="1"/>
  <c r="AD110" i="1"/>
  <c r="AC98" i="1"/>
  <c r="AC102" i="1"/>
  <c r="AC83" i="1"/>
  <c r="AC118" i="1"/>
  <c r="AC122" i="1"/>
  <c r="AC123" i="1"/>
  <c r="AD120" i="1"/>
  <c r="AC88" i="1"/>
  <c r="AB103" i="1"/>
  <c r="AC100" i="1"/>
  <c r="AC103" i="1"/>
  <c r="AD100" i="1"/>
  <c r="AA145" i="1"/>
  <c r="AC129" i="1"/>
  <c r="AC145" i="1"/>
  <c r="AC92" i="1"/>
  <c r="AC93" i="1"/>
  <c r="AD90" i="1"/>
  <c r="AD108" i="1"/>
  <c r="AD112" i="1"/>
  <c r="AD113" i="1"/>
  <c r="AE110" i="1"/>
  <c r="AD83" i="1"/>
  <c r="AE82" i="1"/>
  <c r="AD88" i="1"/>
  <c r="AD98" i="1"/>
  <c r="AD102" i="1"/>
  <c r="AD103" i="1"/>
  <c r="AE100" i="1"/>
  <c r="AD118" i="1"/>
  <c r="AD122" i="1"/>
  <c r="AD123" i="1"/>
  <c r="AE120" i="1"/>
  <c r="AD129" i="1"/>
  <c r="AD145" i="1"/>
  <c r="AD92" i="1"/>
  <c r="AD93" i="1"/>
  <c r="AE90" i="1"/>
  <c r="AF82" i="1"/>
  <c r="AE83" i="1"/>
  <c r="AE108" i="1"/>
  <c r="AE112" i="1"/>
  <c r="AE113" i="1"/>
  <c r="AF110" i="1"/>
  <c r="AE88" i="1"/>
  <c r="AE98" i="1"/>
  <c r="AE102" i="1"/>
  <c r="AE103" i="1"/>
  <c r="AF100" i="1"/>
  <c r="AE118" i="1"/>
  <c r="AE122" i="1"/>
  <c r="AE123" i="1"/>
  <c r="AF120" i="1"/>
  <c r="AG82" i="1"/>
  <c r="AF98" i="1"/>
  <c r="AF102" i="1"/>
  <c r="AF103" i="1"/>
  <c r="AG100" i="1"/>
  <c r="AF83" i="1"/>
  <c r="AF118" i="1"/>
  <c r="AF122" i="1"/>
  <c r="AF123" i="1"/>
  <c r="AG120" i="1"/>
  <c r="AF108" i="1"/>
  <c r="AF112" i="1"/>
  <c r="AF113" i="1"/>
  <c r="AG110" i="1"/>
  <c r="AF88" i="1"/>
  <c r="AE93" i="1"/>
  <c r="AF90" i="1"/>
  <c r="AE129" i="1"/>
  <c r="AE145" i="1"/>
  <c r="AE92" i="1"/>
  <c r="AG98" i="1"/>
  <c r="AG102" i="1"/>
  <c r="AG103" i="1"/>
  <c r="AH100" i="1"/>
  <c r="AG108" i="1"/>
  <c r="AG112" i="1"/>
  <c r="AG113" i="1"/>
  <c r="AH110" i="1"/>
  <c r="AH82" i="1"/>
  <c r="AG83" i="1"/>
  <c r="AG118" i="1"/>
  <c r="AG122" i="1"/>
  <c r="AG123" i="1"/>
  <c r="AH120" i="1"/>
  <c r="AG88" i="1"/>
  <c r="AF129" i="1"/>
  <c r="AF145" i="1"/>
  <c r="AF92" i="1"/>
  <c r="AF93" i="1"/>
  <c r="AG90" i="1"/>
  <c r="AH83" i="1"/>
  <c r="AH108" i="1"/>
  <c r="AH112" i="1"/>
  <c r="AH113" i="1"/>
  <c r="AI110" i="1"/>
  <c r="AI82" i="1"/>
  <c r="AH98" i="1"/>
  <c r="AH102" i="1"/>
  <c r="AH103" i="1"/>
  <c r="AI100" i="1"/>
  <c r="AH88" i="1"/>
  <c r="AH118" i="1"/>
  <c r="AH122" i="1"/>
  <c r="AH123" i="1"/>
  <c r="AI120" i="1"/>
  <c r="AG129" i="1"/>
  <c r="AG145" i="1"/>
  <c r="AG92" i="1"/>
  <c r="AG93" i="1"/>
  <c r="AH90" i="1"/>
  <c r="AJ82" i="1"/>
  <c r="AI83" i="1"/>
  <c r="AI108" i="1"/>
  <c r="AI112" i="1"/>
  <c r="AI113" i="1"/>
  <c r="AJ110" i="1"/>
  <c r="AI88" i="1"/>
  <c r="AI98" i="1"/>
  <c r="AI102" i="1"/>
  <c r="AI103" i="1"/>
  <c r="AJ100" i="1"/>
  <c r="AI118" i="1"/>
  <c r="AI122" i="1"/>
  <c r="AI123" i="1"/>
  <c r="AJ120" i="1"/>
  <c r="AH129" i="1"/>
  <c r="AH145" i="1"/>
  <c r="AH92" i="1"/>
  <c r="AH93" i="1"/>
  <c r="AI90" i="1"/>
  <c r="AK82" i="1"/>
  <c r="AJ98" i="1"/>
  <c r="AJ102" i="1"/>
  <c r="AJ103" i="1"/>
  <c r="AK100" i="1"/>
  <c r="AJ83" i="1"/>
  <c r="AJ108" i="1"/>
  <c r="AJ112" i="1"/>
  <c r="AJ113" i="1"/>
  <c r="AK110" i="1"/>
  <c r="AJ118" i="1"/>
  <c r="AJ122" i="1"/>
  <c r="AJ123" i="1"/>
  <c r="AK120" i="1"/>
  <c r="AJ88" i="1"/>
  <c r="AI129" i="1"/>
  <c r="AI145" i="1"/>
  <c r="AI92" i="1"/>
  <c r="AI93" i="1"/>
  <c r="AJ90" i="1"/>
  <c r="AJ129" i="1"/>
  <c r="AJ145" i="1"/>
  <c r="AJ92" i="1"/>
  <c r="AJ93" i="1"/>
  <c r="AK90" i="1"/>
  <c r="AK108" i="1"/>
  <c r="AK98" i="1"/>
  <c r="AK88" i="1"/>
  <c r="AK118" i="1"/>
  <c r="AK83" i="1"/>
  <c r="AM83" i="1"/>
  <c r="AN83" i="1"/>
  <c r="AK112" i="1"/>
  <c r="AK113" i="1"/>
  <c r="AL110" i="1"/>
  <c r="AL113" i="1"/>
  <c r="AM108" i="1"/>
  <c r="AN108" i="1"/>
  <c r="AK122" i="1"/>
  <c r="AK123" i="1"/>
  <c r="AL120" i="1"/>
  <c r="AL123" i="1"/>
  <c r="AM118" i="1"/>
  <c r="AN118" i="1"/>
  <c r="AK129" i="1"/>
  <c r="AK92" i="1"/>
  <c r="AK93" i="1"/>
  <c r="AL90" i="1"/>
  <c r="AL93" i="1"/>
  <c r="AM88" i="1"/>
  <c r="AN88" i="1"/>
  <c r="AK102" i="1"/>
  <c r="AK103" i="1"/>
  <c r="AL100" i="1"/>
  <c r="AL103" i="1"/>
  <c r="AM98" i="1"/>
  <c r="AN98" i="1"/>
  <c r="AK145" i="1"/>
  <c r="AM129" i="1"/>
  <c r="AN129" i="1"/>
  <c r="T99" i="8"/>
  <c r="H73" i="8"/>
  <c r="T81" i="8"/>
  <c r="H90" i="8"/>
  <c r="H69" i="8"/>
  <c r="Q101" i="8"/>
  <c r="N101" i="8"/>
  <c r="K101" i="8"/>
  <c r="T96" i="8"/>
  <c r="T46" i="8"/>
  <c r="T26" i="8"/>
  <c r="T85" i="8"/>
  <c r="T91" i="8"/>
  <c r="T20" i="8"/>
  <c r="T78" i="8"/>
  <c r="T57" i="8"/>
  <c r="T48" i="8"/>
  <c r="T42" i="8"/>
  <c r="T74" i="8"/>
  <c r="T41" i="8"/>
  <c r="T83" i="8"/>
  <c r="H97" i="8"/>
  <c r="H18" i="8"/>
  <c r="H44" i="8"/>
  <c r="H37" i="8"/>
  <c r="H54" i="8"/>
  <c r="H93" i="8"/>
  <c r="H26" i="8"/>
  <c r="H76" i="8"/>
  <c r="H62" i="8"/>
  <c r="H21" i="8"/>
  <c r="H88" i="8"/>
  <c r="H52" i="8"/>
  <c r="H43" i="8"/>
  <c r="H28" i="8"/>
  <c r="H82" i="8"/>
  <c r="H35" i="8"/>
  <c r="H99" i="8"/>
  <c r="H91" i="8"/>
  <c r="H20" i="8"/>
  <c r="H53" i="8"/>
  <c r="H11" i="8"/>
  <c r="H46" i="8"/>
  <c r="H78" i="8"/>
  <c r="H33" i="8"/>
  <c r="H60" i="8"/>
  <c r="H5" i="8"/>
  <c r="H38" i="8"/>
  <c r="H70" i="8"/>
  <c r="H86" i="8"/>
  <c r="H16" i="8"/>
  <c r="H7" i="8"/>
  <c r="H75" i="8"/>
  <c r="H58" i="8"/>
  <c r="H67" i="8"/>
  <c r="H96" i="8"/>
  <c r="H84" i="8"/>
  <c r="H32" i="8"/>
  <c r="H68" i="8"/>
  <c r="H23" i="8"/>
  <c r="H59" i="8"/>
  <c r="H14" i="8"/>
  <c r="H42" i="8"/>
  <c r="H74" i="8"/>
  <c r="H17" i="8"/>
  <c r="H51" i="8"/>
  <c r="H85" i="8"/>
  <c r="T87" i="8"/>
  <c r="T62" i="8"/>
  <c r="T93" i="8"/>
  <c r="T34" i="8"/>
  <c r="T13" i="8"/>
  <c r="T68" i="8"/>
  <c r="T18" i="8"/>
  <c r="T86" i="8"/>
  <c r="T58" i="8"/>
  <c r="T73" i="8"/>
  <c r="T30" i="8"/>
  <c r="T51" i="8"/>
  <c r="T11" i="8"/>
  <c r="T55" i="8"/>
  <c r="T90" i="8"/>
  <c r="T84" i="8"/>
  <c r="T70" i="8"/>
  <c r="T54" i="8"/>
  <c r="T38" i="8"/>
  <c r="T92" i="8"/>
  <c r="T69" i="8"/>
  <c r="T53" i="8"/>
  <c r="T37" i="8"/>
  <c r="T33" i="8"/>
  <c r="T29" i="8"/>
  <c r="T25" i="8"/>
  <c r="T17" i="8"/>
  <c r="T56" i="8"/>
  <c r="T8" i="8"/>
  <c r="T47" i="8"/>
  <c r="T79" i="8"/>
  <c r="T15" i="8"/>
  <c r="T59" i="8"/>
  <c r="T6" i="8"/>
  <c r="T22" i="8"/>
  <c r="T60" i="8"/>
  <c r="T82" i="8"/>
  <c r="T97" i="8"/>
  <c r="T89" i="8"/>
  <c r="T80" i="8"/>
  <c r="T66" i="8"/>
  <c r="T50" i="8"/>
  <c r="T100" i="8"/>
  <c r="T88" i="8"/>
  <c r="T65" i="8"/>
  <c r="T49" i="8"/>
  <c r="T36" i="8"/>
  <c r="T32" i="8"/>
  <c r="T28" i="8"/>
  <c r="T24" i="8"/>
  <c r="T5" i="8"/>
  <c r="T21" i="8"/>
  <c r="T67" i="8"/>
  <c r="T12" i="8"/>
  <c r="T52" i="8"/>
  <c r="T95" i="8"/>
  <c r="T19" i="8"/>
  <c r="T64" i="8"/>
  <c r="T10" i="8"/>
  <c r="T39" i="8"/>
  <c r="T71" i="8"/>
  <c r="T94" i="8"/>
  <c r="T98" i="8"/>
  <c r="T77" i="8"/>
  <c r="T61" i="8"/>
  <c r="T45" i="8"/>
  <c r="T35" i="8"/>
  <c r="T31" i="8"/>
  <c r="T27" i="8"/>
  <c r="T23" i="8"/>
  <c r="W3" i="8"/>
  <c r="T9" i="8"/>
  <c r="T40" i="8"/>
  <c r="T72" i="8"/>
  <c r="T16" i="8"/>
  <c r="T63" i="8"/>
  <c r="T7" i="8"/>
  <c r="T43" i="8"/>
  <c r="T75" i="8"/>
  <c r="T14" i="8"/>
  <c r="T44" i="8"/>
  <c r="T76" i="8"/>
  <c r="H87" i="8"/>
  <c r="H95" i="8"/>
  <c r="H100" i="8"/>
  <c r="H83" i="8"/>
  <c r="H8" i="8"/>
  <c r="H24" i="8"/>
  <c r="H47" i="8"/>
  <c r="H63" i="8"/>
  <c r="H79" i="8"/>
  <c r="H15" i="8"/>
  <c r="H31" i="8"/>
  <c r="H48" i="8"/>
  <c r="H64" i="8"/>
  <c r="H6" i="8"/>
  <c r="H22" i="8"/>
  <c r="H36" i="8"/>
  <c r="H45" i="8"/>
  <c r="H61" i="8"/>
  <c r="H77" i="8"/>
  <c r="H9" i="8"/>
  <c r="H27" i="8"/>
  <c r="H40" i="8"/>
  <c r="H56" i="8"/>
  <c r="H72" i="8"/>
  <c r="H98" i="8"/>
  <c r="H80" i="8"/>
  <c r="H94" i="8"/>
  <c r="H92" i="8"/>
  <c r="H12" i="8"/>
  <c r="H29" i="8"/>
  <c r="H50" i="8"/>
  <c r="H66" i="8"/>
  <c r="H89" i="8"/>
  <c r="H19" i="8"/>
  <c r="H34" i="8"/>
  <c r="H49" i="8"/>
  <c r="H65" i="8"/>
  <c r="H10" i="8"/>
  <c r="H25" i="8"/>
  <c r="H39" i="8"/>
  <c r="H55" i="8"/>
  <c r="H71" i="8"/>
  <c r="H81" i="8"/>
  <c r="H13" i="8"/>
  <c r="H30" i="8"/>
  <c r="H41" i="8"/>
  <c r="H57" i="8"/>
  <c r="T101" i="8"/>
  <c r="H101" i="8"/>
  <c r="B87" i="8"/>
  <c r="B64" i="8"/>
  <c r="B48" i="8"/>
  <c r="B29" i="8"/>
  <c r="B12" i="8"/>
  <c r="B70" i="8"/>
  <c r="B54" i="8"/>
  <c r="B38" i="8"/>
  <c r="B24" i="8"/>
  <c r="B9" i="8"/>
  <c r="B83" i="8"/>
  <c r="B71" i="8"/>
  <c r="B55" i="8"/>
  <c r="B39" i="8"/>
  <c r="B22" i="8"/>
  <c r="B6" i="8"/>
  <c r="B76" i="8"/>
  <c r="B60" i="8"/>
  <c r="B44" i="8"/>
  <c r="B28" i="8"/>
  <c r="B11" i="8"/>
  <c r="B82" i="8"/>
  <c r="B98" i="8"/>
  <c r="B80" i="8"/>
  <c r="B79" i="8"/>
  <c r="B63" i="8"/>
  <c r="B47" i="8"/>
  <c r="B26" i="8"/>
  <c r="B8" i="8"/>
  <c r="B68" i="8"/>
  <c r="B52" i="8"/>
  <c r="B35" i="8"/>
  <c r="B21" i="8"/>
  <c r="B5" i="8"/>
  <c r="B77" i="8"/>
  <c r="B61" i="8"/>
  <c r="B45" i="8"/>
  <c r="B33" i="8"/>
  <c r="B18" i="8"/>
  <c r="B97" i="8"/>
  <c r="B75" i="8"/>
  <c r="B59" i="8"/>
  <c r="B43" i="8"/>
  <c r="B23" i="8"/>
  <c r="B7" i="8"/>
  <c r="B86" i="8"/>
  <c r="B99" i="8"/>
  <c r="B84" i="8"/>
  <c r="B96" i="8"/>
  <c r="B69" i="8"/>
  <c r="B53" i="8"/>
  <c r="B37" i="8"/>
  <c r="B20" i="8"/>
  <c r="B85" i="8"/>
  <c r="B67" i="8"/>
  <c r="B51" i="8"/>
  <c r="B32" i="8"/>
  <c r="B17" i="8"/>
  <c r="B93" i="8"/>
  <c r="B74" i="8"/>
  <c r="B58" i="8"/>
  <c r="B42" i="8"/>
  <c r="B30" i="8"/>
  <c r="B14" i="8"/>
  <c r="B81" i="8"/>
  <c r="B65" i="8"/>
  <c r="B49" i="8"/>
  <c r="B36" i="8"/>
  <c r="E36" i="8"/>
  <c r="W36" i="8"/>
  <c r="B19" i="8"/>
  <c r="B90" i="8"/>
  <c r="B100" i="8"/>
  <c r="B88" i="8"/>
  <c r="B89" i="8"/>
  <c r="B66" i="8"/>
  <c r="B50" i="8"/>
  <c r="B34" i="8"/>
  <c r="B16" i="8"/>
  <c r="B73" i="8"/>
  <c r="B57" i="8"/>
  <c r="E57" i="8"/>
  <c r="W57" i="8"/>
  <c r="B41" i="8"/>
  <c r="B27" i="8"/>
  <c r="B13" i="8"/>
  <c r="B91" i="8"/>
  <c r="E91" i="8"/>
  <c r="W91" i="8"/>
  <c r="B72" i="8"/>
  <c r="B56" i="8"/>
  <c r="B40" i="8"/>
  <c r="B25" i="8"/>
  <c r="E25" i="8"/>
  <c r="W25" i="8"/>
  <c r="B10" i="8"/>
  <c r="B78" i="8"/>
  <c r="B62" i="8"/>
  <c r="B46" i="8"/>
  <c r="B31" i="8"/>
  <c r="B15" i="8"/>
  <c r="B94" i="8"/>
  <c r="B95" i="8"/>
  <c r="E95" i="8"/>
  <c r="W95" i="8"/>
  <c r="B92" i="8"/>
  <c r="E99" i="8"/>
  <c r="E24" i="8"/>
  <c r="E56" i="8"/>
  <c r="E81" i="8"/>
  <c r="E64" i="8"/>
  <c r="E5" i="8"/>
  <c r="E9" i="8"/>
  <c r="E13" i="8"/>
  <c r="E17" i="8"/>
  <c r="E21" i="8"/>
  <c r="E31" i="8"/>
  <c r="E43" i="8"/>
  <c r="E66" i="8"/>
  <c r="E75" i="8"/>
  <c r="E93" i="8"/>
  <c r="E37" i="8"/>
  <c r="E46" i="8"/>
  <c r="E55" i="8"/>
  <c r="E69" i="8"/>
  <c r="E78" i="8"/>
  <c r="E94" i="8"/>
  <c r="E68" i="8"/>
  <c r="E40" i="8"/>
  <c r="E76" i="8"/>
  <c r="E28" i="8"/>
  <c r="E48" i="8"/>
  <c r="E6" i="8"/>
  <c r="E10" i="8"/>
  <c r="E14" i="8"/>
  <c r="E18" i="8"/>
  <c r="E22" i="8"/>
  <c r="E35" i="8"/>
  <c r="E49" i="8"/>
  <c r="E58" i="8"/>
  <c r="E67" i="8"/>
  <c r="E85" i="8"/>
  <c r="E100" i="8"/>
  <c r="E38" i="8"/>
  <c r="E47" i="8"/>
  <c r="E61" i="8"/>
  <c r="E70" i="8"/>
  <c r="E79" i="8"/>
  <c r="E97" i="8"/>
  <c r="E52" i="8"/>
  <c r="E90" i="8"/>
  <c r="E30" i="8"/>
  <c r="E60" i="8"/>
  <c r="E87" i="8"/>
  <c r="E34" i="8"/>
  <c r="E7" i="8"/>
  <c r="E11" i="8"/>
  <c r="E15" i="8"/>
  <c r="E19" i="8"/>
  <c r="E23" i="8"/>
  <c r="E41" i="8"/>
  <c r="E50" i="8"/>
  <c r="E59" i="8"/>
  <c r="E73" i="8"/>
  <c r="E86" i="8"/>
  <c r="E88" i="8"/>
  <c r="E29" i="8"/>
  <c r="E39" i="8"/>
  <c r="E53" i="8"/>
  <c r="E62" i="8"/>
  <c r="E71" i="8"/>
  <c r="E80" i="8"/>
  <c r="E96" i="8"/>
  <c r="E32" i="8"/>
  <c r="E72" i="8"/>
  <c r="E82" i="8"/>
  <c r="E44" i="8"/>
  <c r="E84" i="8"/>
  <c r="E26" i="8"/>
  <c r="E8" i="8"/>
  <c r="E12" i="8"/>
  <c r="E16" i="8"/>
  <c r="E20" i="8"/>
  <c r="E27" i="8"/>
  <c r="E42" i="8"/>
  <c r="E51" i="8"/>
  <c r="E65" i="8"/>
  <c r="E74" i="8"/>
  <c r="E89" i="8"/>
  <c r="E92" i="8"/>
  <c r="E33" i="8"/>
  <c r="E45" i="8"/>
  <c r="E54" i="8"/>
  <c r="E63" i="8"/>
  <c r="E77" i="8"/>
  <c r="E83" i="8"/>
  <c r="E98" i="8"/>
  <c r="I4" i="9"/>
  <c r="W94" i="8"/>
  <c r="W62" i="8"/>
  <c r="W40" i="8"/>
  <c r="W13" i="8"/>
  <c r="W73" i="8"/>
  <c r="W66" i="8"/>
  <c r="W90" i="8"/>
  <c r="W65" i="8"/>
  <c r="W42" i="8"/>
  <c r="W17" i="8"/>
  <c r="W85" i="8"/>
  <c r="W69" i="8"/>
  <c r="W86" i="8"/>
  <c r="W59" i="8"/>
  <c r="W33" i="8"/>
  <c r="B101" i="8"/>
  <c r="W5" i="8"/>
  <c r="W68" i="8"/>
  <c r="W63" i="8"/>
  <c r="W82" i="8"/>
  <c r="W60" i="8"/>
  <c r="W39" i="8"/>
  <c r="W9" i="8"/>
  <c r="W70" i="8"/>
  <c r="W64" i="8"/>
  <c r="G13" i="9"/>
  <c r="G8" i="9"/>
  <c r="G11" i="9"/>
  <c r="G10" i="9"/>
  <c r="G27" i="9"/>
  <c r="W15" i="8"/>
  <c r="W78" i="8"/>
  <c r="W56" i="8"/>
  <c r="W27" i="8"/>
  <c r="X27" i="8"/>
  <c r="Y27" i="8"/>
  <c r="AB27" i="8"/>
  <c r="AC27" i="8"/>
  <c r="W16" i="8"/>
  <c r="W89" i="8"/>
  <c r="W19" i="8"/>
  <c r="W81" i="8"/>
  <c r="W58" i="8"/>
  <c r="W32" i="8"/>
  <c r="X32" i="8"/>
  <c r="Y32" i="8"/>
  <c r="AB32" i="8"/>
  <c r="AC32" i="8"/>
  <c r="W20" i="8"/>
  <c r="W76" i="8"/>
  <c r="X20" i="8"/>
  <c r="Y20" i="8"/>
  <c r="AB20" i="8"/>
  <c r="AC20" i="8"/>
  <c r="W96" i="8"/>
  <c r="W7" i="8"/>
  <c r="X7" i="8"/>
  <c r="Y7" i="8"/>
  <c r="AB7" i="8"/>
  <c r="AC7" i="8"/>
  <c r="W75" i="8"/>
  <c r="W45" i="8"/>
  <c r="W21" i="8"/>
  <c r="W8" i="8"/>
  <c r="X8" i="8"/>
  <c r="Y8" i="8"/>
  <c r="AB8" i="8"/>
  <c r="AC8" i="8"/>
  <c r="W79" i="8"/>
  <c r="W11" i="8"/>
  <c r="W55" i="8"/>
  <c r="W24" i="8"/>
  <c r="W12" i="8"/>
  <c r="W87" i="8"/>
  <c r="W92" i="8"/>
  <c r="W31" i="8"/>
  <c r="W10" i="8"/>
  <c r="W72" i="8"/>
  <c r="W41" i="8"/>
  <c r="W34" i="8"/>
  <c r="X34" i="8"/>
  <c r="Y34" i="8"/>
  <c r="AB34" i="8"/>
  <c r="AC34" i="8"/>
  <c r="W88" i="8"/>
  <c r="W14" i="8"/>
  <c r="W74" i="8"/>
  <c r="W51" i="8"/>
  <c r="W37" i="8"/>
  <c r="W84" i="8"/>
  <c r="W23" i="8"/>
  <c r="W97" i="8"/>
  <c r="W61" i="8"/>
  <c r="W35" i="8"/>
  <c r="X35" i="8"/>
  <c r="Y35" i="8"/>
  <c r="AB35" i="8"/>
  <c r="AC35" i="8"/>
  <c r="W26" i="8"/>
  <c r="W80" i="8"/>
  <c r="W28" i="8"/>
  <c r="X28" i="8"/>
  <c r="Y28" i="8"/>
  <c r="AB28" i="8"/>
  <c r="AC28" i="8"/>
  <c r="W6" i="8"/>
  <c r="W71" i="8"/>
  <c r="W38" i="8"/>
  <c r="W29" i="8"/>
  <c r="E101" i="8"/>
  <c r="W46" i="8"/>
  <c r="X25" i="8"/>
  <c r="Y25" i="8"/>
  <c r="AB25" i="8"/>
  <c r="AC25" i="8"/>
  <c r="W50" i="8"/>
  <c r="W100" i="8"/>
  <c r="X100" i="8"/>
  <c r="Y100" i="8"/>
  <c r="AB100" i="8"/>
  <c r="AC100" i="8"/>
  <c r="W49" i="8"/>
  <c r="W30" i="8"/>
  <c r="X30" i="8"/>
  <c r="Y30" i="8"/>
  <c r="AB30" i="8"/>
  <c r="AC30" i="8"/>
  <c r="W93" i="8"/>
  <c r="W67" i="8"/>
  <c r="W53" i="8"/>
  <c r="W99" i="8"/>
  <c r="X99" i="8"/>
  <c r="Y99" i="8"/>
  <c r="AB99" i="8"/>
  <c r="AC99" i="8"/>
  <c r="W43" i="8"/>
  <c r="W18" i="8"/>
  <c r="W77" i="8"/>
  <c r="X36" i="8"/>
  <c r="Y36" i="8"/>
  <c r="AB36" i="8"/>
  <c r="AC36" i="8"/>
  <c r="W52" i="8"/>
  <c r="W47" i="8"/>
  <c r="W98" i="8"/>
  <c r="X98" i="8"/>
  <c r="Y98" i="8"/>
  <c r="AB98" i="8"/>
  <c r="AC98" i="8"/>
  <c r="W44" i="8"/>
  <c r="W22" i="8"/>
  <c r="X22" i="8"/>
  <c r="Y22" i="8"/>
  <c r="AB22" i="8"/>
  <c r="AC22" i="8"/>
  <c r="W83" i="8"/>
  <c r="W54" i="8"/>
  <c r="W48" i="8"/>
  <c r="X10" i="8"/>
  <c r="Y10" i="8"/>
  <c r="AB10" i="8"/>
  <c r="AC10" i="8"/>
  <c r="X12" i="8"/>
  <c r="Y12" i="8"/>
  <c r="AB12" i="8"/>
  <c r="AC12" i="8"/>
  <c r="X11" i="8"/>
  <c r="Y11" i="8"/>
  <c r="AB11" i="8"/>
  <c r="AC11" i="8"/>
  <c r="X19" i="8"/>
  <c r="Y19" i="8"/>
  <c r="AB19" i="8"/>
  <c r="AC19" i="8"/>
  <c r="X13" i="8"/>
  <c r="Y13" i="8"/>
  <c r="AB13" i="8"/>
  <c r="AC13" i="8"/>
  <c r="X26" i="8"/>
  <c r="Y26" i="8"/>
  <c r="AB26" i="8"/>
  <c r="AC26" i="8"/>
  <c r="X23" i="8"/>
  <c r="Y23" i="8"/>
  <c r="AB23" i="8"/>
  <c r="AC23" i="8"/>
  <c r="X31" i="8"/>
  <c r="Y31" i="8"/>
  <c r="AB31" i="8"/>
  <c r="AC31" i="8"/>
  <c r="X24" i="8"/>
  <c r="Y24" i="8"/>
  <c r="AB24" i="8"/>
  <c r="AC24" i="8"/>
  <c r="X9" i="8"/>
  <c r="Y9" i="8"/>
  <c r="AB9" i="8"/>
  <c r="AC9" i="8"/>
  <c r="X33" i="8"/>
  <c r="Y33" i="8"/>
  <c r="AB33" i="8"/>
  <c r="AC33" i="8"/>
  <c r="X18" i="8"/>
  <c r="Y18" i="8"/>
  <c r="AB18" i="8"/>
  <c r="AC18" i="8"/>
  <c r="X6" i="8"/>
  <c r="Y6" i="8"/>
  <c r="AB6" i="8"/>
  <c r="AC6" i="8"/>
  <c r="X14" i="8"/>
  <c r="Y14" i="8"/>
  <c r="AB14" i="8"/>
  <c r="AC14" i="8"/>
  <c r="X16" i="8"/>
  <c r="Y16" i="8"/>
  <c r="AB16" i="8"/>
  <c r="AC16" i="8"/>
  <c r="X15" i="8"/>
  <c r="Y15" i="8"/>
  <c r="AB15" i="8"/>
  <c r="AC15" i="8"/>
  <c r="X17" i="8"/>
  <c r="Y17" i="8"/>
  <c r="AB17" i="8"/>
  <c r="AC17" i="8"/>
  <c r="X29" i="8"/>
  <c r="Y29" i="8"/>
  <c r="AB29" i="8"/>
  <c r="AC29" i="8"/>
  <c r="X21" i="8"/>
  <c r="Y21" i="8"/>
  <c r="AB21" i="8"/>
  <c r="AC21" i="8"/>
  <c r="X5" i="8"/>
  <c r="W101" i="8"/>
  <c r="X101" i="8"/>
  <c r="X102" i="8"/>
  <c r="Y5" i="8"/>
  <c r="AB5" i="8"/>
  <c r="Y101" i="8"/>
  <c r="AB101" i="8"/>
  <c r="AC5" i="8"/>
  <c r="AC101" i="8"/>
  <c r="C11" i="11"/>
  <c r="D11" i="11"/>
  <c r="E11" i="11"/>
  <c r="F11" i="11" s="1"/>
  <c r="G11" i="11"/>
  <c r="H11" i="11"/>
  <c r="I11" i="11" s="1"/>
  <c r="J11" i="11" s="1"/>
  <c r="K11" i="11" s="1"/>
  <c r="L11" i="11" s="1"/>
  <c r="M11" i="11" s="1"/>
  <c r="N11" i="11" s="1"/>
  <c r="O11" i="11" s="1"/>
  <c r="P11" i="11" s="1"/>
  <c r="Q11" i="11" s="1"/>
  <c r="R11" i="11" s="1"/>
  <c r="S11" i="11" s="1"/>
  <c r="T11" i="11" s="1"/>
  <c r="U11" i="11" s="1"/>
  <c r="V11" i="11" s="1"/>
  <c r="H38" i="9" l="1"/>
  <c r="C20" i="11" s="1"/>
  <c r="C21" i="11" s="1"/>
  <c r="C24" i="11" s="1"/>
  <c r="C25" i="11" s="1"/>
  <c r="D22" i="11" s="1"/>
  <c r="I54" i="9"/>
  <c r="I22" i="9"/>
  <c r="I23" i="9"/>
  <c r="I24" i="9"/>
  <c r="I25" i="9"/>
  <c r="I15" i="9"/>
  <c r="I37" i="9"/>
  <c r="I10" i="9"/>
  <c r="I36" i="9"/>
  <c r="I9" i="9"/>
  <c r="I35" i="9"/>
  <c r="I8" i="9"/>
  <c r="I18" i="9" s="1"/>
  <c r="D12" i="11" s="1"/>
  <c r="D13" i="11" s="1"/>
  <c r="D16" i="11" s="1"/>
  <c r="I7" i="9"/>
  <c r="I53" i="9"/>
  <c r="H55" i="9"/>
  <c r="I32" i="9"/>
  <c r="I51" i="9"/>
  <c r="I31" i="9"/>
  <c r="I50" i="9"/>
  <c r="I29" i="9"/>
  <c r="J4" i="9"/>
  <c r="I48" i="9"/>
  <c r="I28" i="9"/>
  <c r="N47" i="9"/>
  <c r="I47" i="9"/>
  <c r="I55" i="9" s="1"/>
  <c r="D36" i="11" s="1"/>
  <c r="D37" i="11" s="1"/>
  <c r="D40" i="11" s="1"/>
  <c r="I42" i="9"/>
  <c r="I43" i="9" s="1"/>
  <c r="I27" i="9"/>
  <c r="H18" i="9"/>
  <c r="D28" i="11" l="1"/>
  <c r="D29" i="11" s="1"/>
  <c r="D32" i="11" s="1"/>
  <c r="D33" i="11" s="1"/>
  <c r="E30" i="11" s="1"/>
  <c r="T47" i="9"/>
  <c r="J16" i="9"/>
  <c r="J35" i="9"/>
  <c r="J17" i="9"/>
  <c r="J36" i="9"/>
  <c r="J22" i="9"/>
  <c r="J41" i="9"/>
  <c r="J15" i="9"/>
  <c r="J42" i="9"/>
  <c r="J24" i="9"/>
  <c r="J47" i="9"/>
  <c r="J55" i="9" s="1"/>
  <c r="E36" i="11" s="1"/>
  <c r="E37" i="11" s="1"/>
  <c r="E40" i="11" s="1"/>
  <c r="K4" i="9"/>
  <c r="J8" i="9"/>
  <c r="J23" i="9"/>
  <c r="J48" i="9"/>
  <c r="J50" i="9"/>
  <c r="J25" i="9"/>
  <c r="J51" i="9"/>
  <c r="J27" i="9"/>
  <c r="J53" i="9"/>
  <c r="J28" i="9"/>
  <c r="J54" i="9"/>
  <c r="J7" i="9"/>
  <c r="J29" i="9"/>
  <c r="J31" i="9"/>
  <c r="J10" i="9"/>
  <c r="J11" i="9"/>
  <c r="J34" i="9"/>
  <c r="T34" i="9" s="1"/>
  <c r="J13" i="9"/>
  <c r="J37" i="9"/>
  <c r="J32" i="9"/>
  <c r="J9" i="9"/>
  <c r="J14" i="9"/>
  <c r="I38" i="9"/>
  <c r="D20" i="11" s="1"/>
  <c r="D21" i="11" s="1"/>
  <c r="D24" i="11" s="1"/>
  <c r="D25" i="11" s="1"/>
  <c r="E22" i="11" s="1"/>
  <c r="C36" i="11"/>
  <c r="C37" i="11" s="1"/>
  <c r="C40" i="11" s="1"/>
  <c r="C41" i="11" s="1"/>
  <c r="D38" i="11" s="1"/>
  <c r="D41" i="11" s="1"/>
  <c r="E38" i="11" s="1"/>
  <c r="C12" i="11"/>
  <c r="C13" i="11" s="1"/>
  <c r="C16" i="11" s="1"/>
  <c r="C17" i="11" s="1"/>
  <c r="J18" i="9" l="1"/>
  <c r="K22" i="9"/>
  <c r="K23" i="9"/>
  <c r="K25" i="9"/>
  <c r="K48" i="9"/>
  <c r="K27" i="9"/>
  <c r="K50" i="9"/>
  <c r="K9" i="9"/>
  <c r="K36" i="9"/>
  <c r="K10" i="9"/>
  <c r="K37" i="9"/>
  <c r="L4" i="9"/>
  <c r="K11" i="9"/>
  <c r="K13" i="9"/>
  <c r="K41" i="9"/>
  <c r="K43" i="9" s="1"/>
  <c r="F28" i="11" s="1"/>
  <c r="F29" i="11" s="1"/>
  <c r="F32" i="11" s="1"/>
  <c r="K14" i="9"/>
  <c r="K42" i="9"/>
  <c r="K15" i="9"/>
  <c r="K16" i="9"/>
  <c r="K47" i="9"/>
  <c r="K17" i="9"/>
  <c r="K51" i="9"/>
  <c r="K28" i="9"/>
  <c r="K53" i="9"/>
  <c r="K24" i="9"/>
  <c r="K54" i="9"/>
  <c r="K31" i="9"/>
  <c r="K32" i="9"/>
  <c r="K7" i="9"/>
  <c r="K8" i="9"/>
  <c r="K29" i="9"/>
  <c r="K34" i="9"/>
  <c r="K35" i="9"/>
  <c r="J43" i="9"/>
  <c r="E41" i="11"/>
  <c r="F38" i="11" s="1"/>
  <c r="O22" i="9"/>
  <c r="J38" i="9"/>
  <c r="Z47" i="9"/>
  <c r="C43" i="11"/>
  <c r="D14" i="11"/>
  <c r="D17" i="11" s="1"/>
  <c r="K18" i="9" l="1"/>
  <c r="F12" i="11" s="1"/>
  <c r="F13" i="11" s="1"/>
  <c r="F16" i="11" s="1"/>
  <c r="K55" i="9"/>
  <c r="K38" i="9"/>
  <c r="F20" i="11" s="1"/>
  <c r="F21" i="11" s="1"/>
  <c r="F24" i="11" s="1"/>
  <c r="L8" i="9"/>
  <c r="L29" i="9"/>
  <c r="L53" i="9"/>
  <c r="L9" i="9"/>
  <c r="L31" i="9"/>
  <c r="L54" i="9"/>
  <c r="L11" i="9"/>
  <c r="L34" i="9"/>
  <c r="L13" i="9"/>
  <c r="L35" i="9"/>
  <c r="L37" i="9"/>
  <c r="M4" i="9"/>
  <c r="L7" i="9"/>
  <c r="L10" i="9"/>
  <c r="L41" i="9"/>
  <c r="L43" i="9" s="1"/>
  <c r="G28" i="11" s="1"/>
  <c r="G29" i="11" s="1"/>
  <c r="G32" i="11" s="1"/>
  <c r="L14" i="9"/>
  <c r="L42" i="9"/>
  <c r="L15" i="9"/>
  <c r="L24" i="9"/>
  <c r="L16" i="9"/>
  <c r="L17" i="9"/>
  <c r="L47" i="9"/>
  <c r="L48" i="9"/>
  <c r="L22" i="9"/>
  <c r="L50" i="9"/>
  <c r="L23" i="9"/>
  <c r="L51" i="9"/>
  <c r="L27" i="9"/>
  <c r="L28" i="9"/>
  <c r="L25" i="9"/>
  <c r="L32" i="9"/>
  <c r="L36" i="9"/>
  <c r="E20" i="11"/>
  <c r="E21" i="11" s="1"/>
  <c r="E24" i="11" s="1"/>
  <c r="E25" i="11" s="1"/>
  <c r="F22" i="11" s="1"/>
  <c r="F25" i="11" s="1"/>
  <c r="G22" i="11" s="1"/>
  <c r="T22" i="9"/>
  <c r="E28" i="11"/>
  <c r="E29" i="11" s="1"/>
  <c r="E32" i="11" s="1"/>
  <c r="E33" i="11" s="1"/>
  <c r="F30" i="11" s="1"/>
  <c r="F33" i="11" s="1"/>
  <c r="G30" i="11" s="1"/>
  <c r="G33" i="11" s="1"/>
  <c r="H30" i="11" s="1"/>
  <c r="E12" i="11"/>
  <c r="E13" i="11" s="1"/>
  <c r="E16" i="11" s="1"/>
  <c r="E14" i="11"/>
  <c r="E17" i="11" s="1"/>
  <c r="D43" i="11"/>
  <c r="L38" i="9" l="1"/>
  <c r="L55" i="9"/>
  <c r="G36" i="11" s="1"/>
  <c r="G37" i="11" s="1"/>
  <c r="G40" i="11" s="1"/>
  <c r="M15" i="9"/>
  <c r="M35" i="9"/>
  <c r="M16" i="9"/>
  <c r="M36" i="9"/>
  <c r="M8" i="9"/>
  <c r="M32" i="9"/>
  <c r="M9" i="9"/>
  <c r="M34" i="9"/>
  <c r="M10" i="9"/>
  <c r="M37" i="9"/>
  <c r="M24" i="9"/>
  <c r="M11" i="9"/>
  <c r="M48" i="9"/>
  <c r="M13" i="9"/>
  <c r="N4" i="9"/>
  <c r="M14" i="9"/>
  <c r="M41" i="9"/>
  <c r="M17" i="9"/>
  <c r="M42" i="9"/>
  <c r="M22" i="9"/>
  <c r="M23" i="9"/>
  <c r="M47" i="9"/>
  <c r="M27" i="9"/>
  <c r="M51" i="9"/>
  <c r="M28" i="9"/>
  <c r="M53" i="9"/>
  <c r="M31" i="9"/>
  <c r="M54" i="9"/>
  <c r="M29" i="9"/>
  <c r="M25" i="9"/>
  <c r="M7" i="9"/>
  <c r="F36" i="11"/>
  <c r="F37" i="11" s="1"/>
  <c r="F40" i="11" s="1"/>
  <c r="F41" i="11" s="1"/>
  <c r="G38" i="11" s="1"/>
  <c r="G41" i="11" s="1"/>
  <c r="H38" i="11" s="1"/>
  <c r="L18" i="9"/>
  <c r="Y22" i="9"/>
  <c r="F14" i="11"/>
  <c r="F17" i="11" s="1"/>
  <c r="E43" i="11"/>
  <c r="M55" i="9" l="1"/>
  <c r="M43" i="9"/>
  <c r="N54" i="9"/>
  <c r="N41" i="9"/>
  <c r="N22" i="9"/>
  <c r="N24" i="9"/>
  <c r="N25" i="9"/>
  <c r="N28" i="9"/>
  <c r="N29" i="9"/>
  <c r="N48" i="9"/>
  <c r="N7" i="9"/>
  <c r="N31" i="9"/>
  <c r="N50" i="9"/>
  <c r="N8" i="9"/>
  <c r="N32" i="9"/>
  <c r="N51" i="9"/>
  <c r="N9" i="9"/>
  <c r="N34" i="9"/>
  <c r="N53" i="9"/>
  <c r="N10" i="9"/>
  <c r="N11" i="9"/>
  <c r="N35" i="9"/>
  <c r="O4" i="9"/>
  <c r="N13" i="9"/>
  <c r="N36" i="9"/>
  <c r="N14" i="9"/>
  <c r="N37" i="9"/>
  <c r="N15" i="9"/>
  <c r="N17" i="9"/>
  <c r="N42" i="9"/>
  <c r="N16" i="9"/>
  <c r="N23" i="9"/>
  <c r="N27" i="9"/>
  <c r="M38" i="9"/>
  <c r="H20" i="11" s="1"/>
  <c r="H21" i="11" s="1"/>
  <c r="H24" i="11" s="1"/>
  <c r="G12" i="11"/>
  <c r="G13" i="11" s="1"/>
  <c r="G16" i="11" s="1"/>
  <c r="M18" i="9"/>
  <c r="H12" i="11" s="1"/>
  <c r="H13" i="11" s="1"/>
  <c r="H16" i="11" s="1"/>
  <c r="G20" i="11"/>
  <c r="G21" i="11" s="1"/>
  <c r="G24" i="11" s="1"/>
  <c r="G25" i="11" s="1"/>
  <c r="H22" i="11" s="1"/>
  <c r="H25" i="11" s="1"/>
  <c r="I22" i="11" s="1"/>
  <c r="F43" i="11"/>
  <c r="G14" i="11"/>
  <c r="G17" i="11" s="1"/>
  <c r="H28" i="11" l="1"/>
  <c r="H29" i="11" s="1"/>
  <c r="H32" i="11" s="1"/>
  <c r="H33" i="11" s="1"/>
  <c r="I30" i="11" s="1"/>
  <c r="N38" i="9"/>
  <c r="Z48" i="9"/>
  <c r="N55" i="9"/>
  <c r="I36" i="11" s="1"/>
  <c r="I37" i="11" s="1"/>
  <c r="I40" i="11" s="1"/>
  <c r="O17" i="9"/>
  <c r="O42" i="9"/>
  <c r="O24" i="9"/>
  <c r="O25" i="9"/>
  <c r="O13" i="9"/>
  <c r="O15" i="9"/>
  <c r="O47" i="9"/>
  <c r="O23" i="9"/>
  <c r="O34" i="9"/>
  <c r="O48" i="9"/>
  <c r="O27" i="9"/>
  <c r="O50" i="9"/>
  <c r="O28" i="9"/>
  <c r="O51" i="9"/>
  <c r="O29" i="9"/>
  <c r="O53" i="9"/>
  <c r="O31" i="9"/>
  <c r="O54" i="9"/>
  <c r="P4" i="9"/>
  <c r="O32" i="9"/>
  <c r="O8" i="9"/>
  <c r="O36" i="9"/>
  <c r="O9" i="9"/>
  <c r="O37" i="9"/>
  <c r="O7" i="9"/>
  <c r="O10" i="9"/>
  <c r="O11" i="9"/>
  <c r="O35" i="9"/>
  <c r="O41" i="9"/>
  <c r="O14" i="9"/>
  <c r="N18" i="9"/>
  <c r="I12" i="11" s="1"/>
  <c r="I13" i="11" s="1"/>
  <c r="I16" i="11" s="1"/>
  <c r="N43" i="9"/>
  <c r="I28" i="11" s="1"/>
  <c r="I29" i="11" s="1"/>
  <c r="I32" i="11" s="1"/>
  <c r="H36" i="11"/>
  <c r="H37" i="11" s="1"/>
  <c r="H40" i="11" s="1"/>
  <c r="H41" i="11" s="1"/>
  <c r="I38" i="11" s="1"/>
  <c r="I41" i="11" s="1"/>
  <c r="J38" i="11" s="1"/>
  <c r="G43" i="11"/>
  <c r="H14" i="11"/>
  <c r="H17" i="11" s="1"/>
  <c r="O18" i="9" l="1"/>
  <c r="J12" i="11" s="1"/>
  <c r="J13" i="11" s="1"/>
  <c r="J16" i="11" s="1"/>
  <c r="O55" i="9"/>
  <c r="I20" i="11"/>
  <c r="I21" i="11" s="1"/>
  <c r="I24" i="11" s="1"/>
  <c r="I25" i="11" s="1"/>
  <c r="J22" i="11" s="1"/>
  <c r="O38" i="9"/>
  <c r="J20" i="11" s="1"/>
  <c r="J21" i="11" s="1"/>
  <c r="J24" i="11" s="1"/>
  <c r="P23" i="9"/>
  <c r="P24" i="9"/>
  <c r="P27" i="9"/>
  <c r="P7" i="9"/>
  <c r="P28" i="9"/>
  <c r="P10" i="9"/>
  <c r="P37" i="9"/>
  <c r="P11" i="9"/>
  <c r="Q4" i="9"/>
  <c r="P13" i="9"/>
  <c r="P41" i="9"/>
  <c r="P43" i="9" s="1"/>
  <c r="K28" i="11" s="1"/>
  <c r="K29" i="11" s="1"/>
  <c r="K32" i="11" s="1"/>
  <c r="P14" i="9"/>
  <c r="P42" i="9"/>
  <c r="P51" i="9"/>
  <c r="P15" i="9"/>
  <c r="P29" i="9"/>
  <c r="P16" i="9"/>
  <c r="P17" i="9"/>
  <c r="P47" i="9"/>
  <c r="P22" i="9"/>
  <c r="P48" i="9"/>
  <c r="P25" i="9"/>
  <c r="P50" i="9"/>
  <c r="P32" i="9"/>
  <c r="P54" i="9"/>
  <c r="P34" i="9"/>
  <c r="P8" i="9"/>
  <c r="P18" i="9" s="1"/>
  <c r="K12" i="11" s="1"/>
  <c r="K13" i="11" s="1"/>
  <c r="K16" i="11" s="1"/>
  <c r="P9" i="9"/>
  <c r="P31" i="9"/>
  <c r="P35" i="9"/>
  <c r="P36" i="9"/>
  <c r="P53" i="9"/>
  <c r="O43" i="9"/>
  <c r="J28" i="11" s="1"/>
  <c r="J29" i="11" s="1"/>
  <c r="J32" i="11" s="1"/>
  <c r="I33" i="11"/>
  <c r="J30" i="11" s="1"/>
  <c r="J33" i="11" s="1"/>
  <c r="K30" i="11" s="1"/>
  <c r="K33" i="11" s="1"/>
  <c r="L30" i="11" s="1"/>
  <c r="I14" i="11"/>
  <c r="I17" i="11" s="1"/>
  <c r="H43" i="11"/>
  <c r="Q25" i="9" l="1"/>
  <c r="Q47" i="9"/>
  <c r="Q27" i="9"/>
  <c r="Q48" i="9"/>
  <c r="Q8" i="9"/>
  <c r="Q29" i="9"/>
  <c r="Q51" i="9"/>
  <c r="Q9" i="9"/>
  <c r="Q31" i="9"/>
  <c r="Q53" i="9"/>
  <c r="Q28" i="9"/>
  <c r="Q16" i="9"/>
  <c r="Q36" i="9"/>
  <c r="Q34" i="9"/>
  <c r="R4" i="9"/>
  <c r="Q35" i="9"/>
  <c r="Q7" i="9"/>
  <c r="Q10" i="9"/>
  <c r="Q37" i="9"/>
  <c r="Q11" i="9"/>
  <c r="Q13" i="9"/>
  <c r="Q41" i="9"/>
  <c r="Q14" i="9"/>
  <c r="Q42" i="9"/>
  <c r="Q50" i="9"/>
  <c r="Q22" i="9"/>
  <c r="Q54" i="9"/>
  <c r="Q17" i="9"/>
  <c r="Q23" i="9"/>
  <c r="Q24" i="9"/>
  <c r="Q15" i="9"/>
  <c r="Q32" i="9"/>
  <c r="AA32" i="9" s="1"/>
  <c r="P38" i="9"/>
  <c r="K20" i="11" s="1"/>
  <c r="K21" i="11" s="1"/>
  <c r="K24" i="11" s="1"/>
  <c r="P55" i="9"/>
  <c r="K36" i="11" s="1"/>
  <c r="K37" i="11" s="1"/>
  <c r="K40" i="11" s="1"/>
  <c r="J25" i="11"/>
  <c r="K22" i="11" s="1"/>
  <c r="K25" i="11" s="1"/>
  <c r="L22" i="11" s="1"/>
  <c r="J36" i="11"/>
  <c r="J37" i="11" s="1"/>
  <c r="J40" i="11" s="1"/>
  <c r="J41" i="11" s="1"/>
  <c r="K38" i="11" s="1"/>
  <c r="K41" i="11" s="1"/>
  <c r="L38" i="11" s="1"/>
  <c r="J14" i="11"/>
  <c r="J17" i="11" s="1"/>
  <c r="I43" i="11"/>
  <c r="Q18" i="9" l="1"/>
  <c r="L12" i="11" s="1"/>
  <c r="L13" i="11" s="1"/>
  <c r="L16" i="11" s="1"/>
  <c r="R10" i="9"/>
  <c r="R32" i="9"/>
  <c r="R11" i="9"/>
  <c r="R34" i="9"/>
  <c r="R51" i="9"/>
  <c r="R14" i="9"/>
  <c r="R36" i="9"/>
  <c r="R54" i="9"/>
  <c r="R15" i="9"/>
  <c r="R37" i="9"/>
  <c r="R27" i="9"/>
  <c r="R53" i="9"/>
  <c r="R35" i="9"/>
  <c r="R28" i="9"/>
  <c r="R29" i="9"/>
  <c r="R31" i="9"/>
  <c r="R17" i="9"/>
  <c r="R7" i="9"/>
  <c r="R8" i="9"/>
  <c r="R41" i="9"/>
  <c r="R9" i="9"/>
  <c r="R42" i="9"/>
  <c r="R13" i="9"/>
  <c r="R16" i="9"/>
  <c r="R22" i="9"/>
  <c r="R23" i="9"/>
  <c r="R48" i="9"/>
  <c r="R47" i="9"/>
  <c r="R55" i="9" s="1"/>
  <c r="M36" i="11" s="1"/>
  <c r="M37" i="11" s="1"/>
  <c r="M40" i="11" s="1"/>
  <c r="S4" i="9"/>
  <c r="R24" i="9"/>
  <c r="R25" i="9"/>
  <c r="Q38" i="9"/>
  <c r="Q43" i="9"/>
  <c r="L28" i="11" s="1"/>
  <c r="L29" i="11" s="1"/>
  <c r="L32" i="11" s="1"/>
  <c r="L33" i="11" s="1"/>
  <c r="M30" i="11" s="1"/>
  <c r="Q55" i="9"/>
  <c r="L36" i="11" s="1"/>
  <c r="L37" i="11" s="1"/>
  <c r="L40" i="11" s="1"/>
  <c r="L41" i="11" s="1"/>
  <c r="M38" i="11" s="1"/>
  <c r="M41" i="11" s="1"/>
  <c r="N38" i="11" s="1"/>
  <c r="J43" i="11"/>
  <c r="K14" i="11"/>
  <c r="K17" i="11" s="1"/>
  <c r="R43" i="9" l="1"/>
  <c r="M28" i="11" s="1"/>
  <c r="M29" i="11" s="1"/>
  <c r="M32" i="11" s="1"/>
  <c r="S13" i="9"/>
  <c r="S35" i="9"/>
  <c r="S51" i="9"/>
  <c r="S14" i="9"/>
  <c r="S53" i="9"/>
  <c r="S16" i="9"/>
  <c r="S37" i="9"/>
  <c r="S17" i="9"/>
  <c r="S24" i="9"/>
  <c r="S25" i="9"/>
  <c r="S27" i="9"/>
  <c r="S29" i="9"/>
  <c r="S28" i="9"/>
  <c r="S47" i="9"/>
  <c r="S55" i="9" s="1"/>
  <c r="N36" i="11" s="1"/>
  <c r="N37" i="11" s="1"/>
  <c r="N40" i="11" s="1"/>
  <c r="N41" i="11" s="1"/>
  <c r="O38" i="11" s="1"/>
  <c r="S48" i="9"/>
  <c r="S31" i="9"/>
  <c r="S50" i="9"/>
  <c r="S32" i="9"/>
  <c r="S54" i="9"/>
  <c r="S7" i="9"/>
  <c r="S34" i="9"/>
  <c r="S8" i="9"/>
  <c r="S9" i="9"/>
  <c r="S36" i="9"/>
  <c r="S10" i="9"/>
  <c r="S15" i="9"/>
  <c r="S42" i="9"/>
  <c r="T4" i="9"/>
  <c r="S11" i="9"/>
  <c r="S22" i="9"/>
  <c r="S38" i="9" s="1"/>
  <c r="N20" i="11" s="1"/>
  <c r="N21" i="11" s="1"/>
  <c r="N24" i="11" s="1"/>
  <c r="S23" i="9"/>
  <c r="S41" i="9"/>
  <c r="R38" i="9"/>
  <c r="M20" i="11" s="1"/>
  <c r="M21" i="11" s="1"/>
  <c r="M24" i="11" s="1"/>
  <c r="R18" i="9"/>
  <c r="M12" i="11" s="1"/>
  <c r="M13" i="11" s="1"/>
  <c r="M16" i="11" s="1"/>
  <c r="M33" i="11"/>
  <c r="N30" i="11" s="1"/>
  <c r="L20" i="11"/>
  <c r="L21" i="11" s="1"/>
  <c r="L24" i="11" s="1"/>
  <c r="L25" i="11" s="1"/>
  <c r="M22" i="11" s="1"/>
  <c r="M25" i="11" s="1"/>
  <c r="N22" i="11" s="1"/>
  <c r="K43" i="11"/>
  <c r="L14" i="11"/>
  <c r="L17" i="11" s="1"/>
  <c r="N25" i="11" l="1"/>
  <c r="O22" i="11" s="1"/>
  <c r="T14" i="9"/>
  <c r="T35" i="9"/>
  <c r="T54" i="9"/>
  <c r="T15" i="9"/>
  <c r="T36" i="9"/>
  <c r="T17" i="9"/>
  <c r="T41" i="9"/>
  <c r="T43" i="9" s="1"/>
  <c r="O28" i="11" s="1"/>
  <c r="O29" i="11" s="1"/>
  <c r="O32" i="11" s="1"/>
  <c r="T11" i="9"/>
  <c r="T13" i="9"/>
  <c r="T16" i="9"/>
  <c r="T42" i="9"/>
  <c r="T28" i="9"/>
  <c r="T23" i="9"/>
  <c r="T24" i="9"/>
  <c r="T48" i="9"/>
  <c r="T25" i="9"/>
  <c r="T50" i="9"/>
  <c r="T27" i="9"/>
  <c r="T51" i="9"/>
  <c r="T7" i="9"/>
  <c r="T29" i="9"/>
  <c r="T8" i="9"/>
  <c r="T31" i="9"/>
  <c r="U4" i="9"/>
  <c r="T10" i="9"/>
  <c r="T9" i="9"/>
  <c r="T32" i="9"/>
  <c r="T37" i="9"/>
  <c r="T53" i="9"/>
  <c r="S18" i="9"/>
  <c r="N12" i="11" s="1"/>
  <c r="N13" i="11" s="1"/>
  <c r="N16" i="11" s="1"/>
  <c r="N33" i="11"/>
  <c r="O30" i="11" s="1"/>
  <c r="S43" i="9"/>
  <c r="N28" i="11" s="1"/>
  <c r="N29" i="11" s="1"/>
  <c r="N32" i="11" s="1"/>
  <c r="L43" i="11"/>
  <c r="M14" i="11"/>
  <c r="M17" i="11" s="1"/>
  <c r="T38" i="9" l="1"/>
  <c r="O20" i="11" s="1"/>
  <c r="O21" i="11" s="1"/>
  <c r="O24" i="11" s="1"/>
  <c r="T18" i="9"/>
  <c r="O12" i="11" s="1"/>
  <c r="O13" i="11" s="1"/>
  <c r="O16" i="11" s="1"/>
  <c r="U16" i="9"/>
  <c r="U17" i="9"/>
  <c r="U41" i="9"/>
  <c r="U43" i="9" s="1"/>
  <c r="P28" i="11" s="1"/>
  <c r="P29" i="11" s="1"/>
  <c r="P32" i="11" s="1"/>
  <c r="U22" i="9"/>
  <c r="U23" i="9"/>
  <c r="U7" i="9"/>
  <c r="U34" i="9"/>
  <c r="U25" i="9"/>
  <c r="U8" i="9"/>
  <c r="U35" i="9"/>
  <c r="U9" i="9"/>
  <c r="U36" i="9"/>
  <c r="U10" i="9"/>
  <c r="U37" i="9"/>
  <c r="U51" i="9"/>
  <c r="U11" i="9"/>
  <c r="U13" i="9"/>
  <c r="U42" i="9"/>
  <c r="U14" i="9"/>
  <c r="U15" i="9"/>
  <c r="U47" i="9"/>
  <c r="U48" i="9"/>
  <c r="U24" i="9"/>
  <c r="U50" i="9"/>
  <c r="U28" i="9"/>
  <c r="U54" i="9"/>
  <c r="U29" i="9"/>
  <c r="U27" i="9"/>
  <c r="U31" i="9"/>
  <c r="U32" i="9"/>
  <c r="U53" i="9"/>
  <c r="V4" i="9"/>
  <c r="O25" i="11"/>
  <c r="P22" i="11" s="1"/>
  <c r="O33" i="11"/>
  <c r="P30" i="11" s="1"/>
  <c r="P33" i="11" s="1"/>
  <c r="Q30" i="11" s="1"/>
  <c r="T55" i="9"/>
  <c r="O36" i="11" s="1"/>
  <c r="O37" i="11" s="1"/>
  <c r="O40" i="11" s="1"/>
  <c r="O41" i="11" s="1"/>
  <c r="P38" i="11" s="1"/>
  <c r="N14" i="11"/>
  <c r="N17" i="11" s="1"/>
  <c r="M43" i="11"/>
  <c r="U55" i="9" l="1"/>
  <c r="P36" i="11" s="1"/>
  <c r="P37" i="11" s="1"/>
  <c r="P40" i="11" s="1"/>
  <c r="P41" i="11"/>
  <c r="Q38" i="11" s="1"/>
  <c r="U38" i="9"/>
  <c r="P20" i="11" s="1"/>
  <c r="P21" i="11" s="1"/>
  <c r="P24" i="11" s="1"/>
  <c r="U18" i="9"/>
  <c r="P12" i="11" s="1"/>
  <c r="P13" i="11" s="1"/>
  <c r="P16" i="11" s="1"/>
  <c r="P25" i="11"/>
  <c r="Q22" i="11" s="1"/>
  <c r="V27" i="9"/>
  <c r="V50" i="9"/>
  <c r="W4" i="9"/>
  <c r="V28" i="9"/>
  <c r="V51" i="9"/>
  <c r="V8" i="9"/>
  <c r="V31" i="9"/>
  <c r="V54" i="9"/>
  <c r="V9" i="9"/>
  <c r="V18" i="9" s="1"/>
  <c r="Q12" i="11" s="1"/>
  <c r="Q13" i="11" s="1"/>
  <c r="Q16" i="11" s="1"/>
  <c r="V32" i="9"/>
  <c r="V29" i="9"/>
  <c r="V17" i="9"/>
  <c r="V34" i="9"/>
  <c r="V35" i="9"/>
  <c r="V36" i="9"/>
  <c r="V47" i="9"/>
  <c r="V7" i="9"/>
  <c r="V37" i="9"/>
  <c r="V10" i="9"/>
  <c r="V11" i="9"/>
  <c r="V41" i="9"/>
  <c r="V13" i="9"/>
  <c r="V42" i="9"/>
  <c r="V14" i="9"/>
  <c r="V15" i="9"/>
  <c r="V22" i="9"/>
  <c r="V38" i="9" s="1"/>
  <c r="Q20" i="11" s="1"/>
  <c r="Q21" i="11" s="1"/>
  <c r="Q24" i="11" s="1"/>
  <c r="V53" i="9"/>
  <c r="V23" i="9"/>
  <c r="V48" i="9"/>
  <c r="V25" i="9"/>
  <c r="V24" i="9"/>
  <c r="N43" i="11"/>
  <c r="O14" i="11"/>
  <c r="O17" i="11" s="1"/>
  <c r="V43" i="9" l="1"/>
  <c r="Q28" i="11" s="1"/>
  <c r="Q29" i="11" s="1"/>
  <c r="Q32" i="11" s="1"/>
  <c r="Q33" i="11" s="1"/>
  <c r="R30" i="11" s="1"/>
  <c r="V55" i="9"/>
  <c r="Q36" i="11" s="1"/>
  <c r="Q37" i="11" s="1"/>
  <c r="Q40" i="11" s="1"/>
  <c r="Q25" i="11"/>
  <c r="R22" i="11" s="1"/>
  <c r="Q41" i="11"/>
  <c r="R38" i="11" s="1"/>
  <c r="W41" i="9"/>
  <c r="W13" i="9"/>
  <c r="W32" i="9"/>
  <c r="W53" i="9"/>
  <c r="W14" i="9"/>
  <c r="W34" i="9"/>
  <c r="W54" i="9"/>
  <c r="W16" i="9"/>
  <c r="W36" i="9"/>
  <c r="W17" i="9"/>
  <c r="W37" i="9"/>
  <c r="W27" i="9"/>
  <c r="W28" i="9"/>
  <c r="W29" i="9"/>
  <c r="W7" i="9"/>
  <c r="W31" i="9"/>
  <c r="W8" i="9"/>
  <c r="W35" i="9"/>
  <c r="W9" i="9"/>
  <c r="W10" i="9"/>
  <c r="W42" i="9"/>
  <c r="W11" i="9"/>
  <c r="W15" i="9"/>
  <c r="W22" i="9"/>
  <c r="W47" i="9"/>
  <c r="W23" i="9"/>
  <c r="W48" i="9"/>
  <c r="W24" i="9"/>
  <c r="W25" i="9"/>
  <c r="W51" i="9"/>
  <c r="X4" i="9"/>
  <c r="P14" i="11"/>
  <c r="P17" i="11" s="1"/>
  <c r="O43" i="11"/>
  <c r="W55" i="9" l="1"/>
  <c r="R36" i="11" s="1"/>
  <c r="R37" i="11" s="1"/>
  <c r="R40" i="11" s="1"/>
  <c r="W38" i="9"/>
  <c r="R20" i="11" s="1"/>
  <c r="R21" i="11" s="1"/>
  <c r="R24" i="11" s="1"/>
  <c r="R25" i="11" s="1"/>
  <c r="S22" i="11" s="1"/>
  <c r="W43" i="9"/>
  <c r="R28" i="11" s="1"/>
  <c r="R29" i="11" s="1"/>
  <c r="R32" i="11" s="1"/>
  <c r="R41" i="11"/>
  <c r="S38" i="11" s="1"/>
  <c r="X15" i="9"/>
  <c r="X16" i="9"/>
  <c r="X37" i="9"/>
  <c r="X41" i="9"/>
  <c r="X43" i="9" s="1"/>
  <c r="S28" i="11" s="1"/>
  <c r="S29" i="11" s="1"/>
  <c r="S32" i="11" s="1"/>
  <c r="X24" i="9"/>
  <c r="Y4" i="9"/>
  <c r="X31" i="9"/>
  <c r="X25" i="9"/>
  <c r="X47" i="9"/>
  <c r="X55" i="9" s="1"/>
  <c r="S36" i="11" s="1"/>
  <c r="S37" i="11" s="1"/>
  <c r="S40" i="11" s="1"/>
  <c r="X7" i="9"/>
  <c r="X27" i="9"/>
  <c r="X48" i="9"/>
  <c r="X28" i="9"/>
  <c r="X50" i="9"/>
  <c r="X13" i="9"/>
  <c r="X29" i="9"/>
  <c r="X51" i="9"/>
  <c r="X53" i="9"/>
  <c r="X8" i="9"/>
  <c r="X32" i="9"/>
  <c r="X54" i="9"/>
  <c r="X9" i="9"/>
  <c r="X34" i="9"/>
  <c r="X10" i="9"/>
  <c r="X35" i="9"/>
  <c r="X11" i="9"/>
  <c r="X36" i="9"/>
  <c r="X17" i="9"/>
  <c r="X42" i="9"/>
  <c r="X22" i="9"/>
  <c r="X23" i="9"/>
  <c r="X14" i="9"/>
  <c r="W18" i="9"/>
  <c r="R12" i="11" s="1"/>
  <c r="R13" i="11" s="1"/>
  <c r="R16" i="11" s="1"/>
  <c r="R33" i="11"/>
  <c r="S30" i="11" s="1"/>
  <c r="S33" i="11" s="1"/>
  <c r="T30" i="11" s="1"/>
  <c r="P43" i="11"/>
  <c r="Q14" i="11"/>
  <c r="Q17" i="11" s="1"/>
  <c r="X18" i="9" l="1"/>
  <c r="S12" i="11" s="1"/>
  <c r="S13" i="11" s="1"/>
  <c r="S16" i="11" s="1"/>
  <c r="Y16" i="9"/>
  <c r="Y23" i="9"/>
  <c r="Z4" i="9"/>
  <c r="Y24" i="9"/>
  <c r="Y10" i="9"/>
  <c r="Y36" i="9"/>
  <c r="Y29" i="9"/>
  <c r="Y11" i="9"/>
  <c r="Y37" i="9"/>
  <c r="Y13" i="9"/>
  <c r="Y14" i="9"/>
  <c r="Y41" i="9"/>
  <c r="Y43" i="9" s="1"/>
  <c r="T28" i="11" s="1"/>
  <c r="T29" i="11" s="1"/>
  <c r="T32" i="11" s="1"/>
  <c r="T33" i="11" s="1"/>
  <c r="U30" i="11" s="1"/>
  <c r="Y51" i="9"/>
  <c r="Y15" i="9"/>
  <c r="Y42" i="9"/>
  <c r="Y47" i="9"/>
  <c r="Y25" i="9"/>
  <c r="Y48" i="9"/>
  <c r="Y27" i="9"/>
  <c r="Y50" i="9"/>
  <c r="Y28" i="9"/>
  <c r="Y7" i="9"/>
  <c r="Y31" i="9"/>
  <c r="Y54" i="9"/>
  <c r="Y8" i="9"/>
  <c r="Y32" i="9"/>
  <c r="Y34" i="9"/>
  <c r="Y35" i="9"/>
  <c r="Y53" i="9"/>
  <c r="Y9" i="9"/>
  <c r="Y17" i="9"/>
  <c r="S41" i="11"/>
  <c r="T38" i="11" s="1"/>
  <c r="X38" i="9"/>
  <c r="S20" i="11" s="1"/>
  <c r="S21" i="11" s="1"/>
  <c r="S24" i="11" s="1"/>
  <c r="S25" i="11" s="1"/>
  <c r="T22" i="11" s="1"/>
  <c r="Q43" i="11"/>
  <c r="R14" i="11"/>
  <c r="R17" i="11" s="1"/>
  <c r="Y18" i="9" l="1"/>
  <c r="T12" i="11" s="1"/>
  <c r="T13" i="11" s="1"/>
  <c r="T16" i="11" s="1"/>
  <c r="Z24" i="9"/>
  <c r="Z7" i="9"/>
  <c r="Z28" i="9"/>
  <c r="Z8" i="9"/>
  <c r="Z29" i="9"/>
  <c r="Z31" i="9"/>
  <c r="Z51" i="9"/>
  <c r="Z32" i="9"/>
  <c r="Z53" i="9"/>
  <c r="AA4" i="9"/>
  <c r="Z34" i="9"/>
  <c r="Z54" i="9"/>
  <c r="Z9" i="9"/>
  <c r="Z35" i="9"/>
  <c r="Z11" i="9"/>
  <c r="Z17" i="9"/>
  <c r="Z10" i="9"/>
  <c r="Z36" i="9"/>
  <c r="Z37" i="9"/>
  <c r="Z13" i="9"/>
  <c r="Z14" i="9"/>
  <c r="Z41" i="9"/>
  <c r="Z15" i="9"/>
  <c r="Z42" i="9"/>
  <c r="Z16" i="9"/>
  <c r="Z22" i="9"/>
  <c r="Z23" i="9"/>
  <c r="Z50" i="9"/>
  <c r="Z55" i="9" s="1"/>
  <c r="U36" i="11" s="1"/>
  <c r="U37" i="11" s="1"/>
  <c r="U40" i="11" s="1"/>
  <c r="Z25" i="9"/>
  <c r="Z27" i="9"/>
  <c r="Y38" i="9"/>
  <c r="T20" i="11" s="1"/>
  <c r="T21" i="11" s="1"/>
  <c r="T24" i="11" s="1"/>
  <c r="T25" i="11" s="1"/>
  <c r="U22" i="11" s="1"/>
  <c r="Y55" i="9"/>
  <c r="T36" i="11" s="1"/>
  <c r="T37" i="11" s="1"/>
  <c r="T40" i="11" s="1"/>
  <c r="T41" i="11" s="1"/>
  <c r="U38" i="11" s="1"/>
  <c r="U41" i="11" s="1"/>
  <c r="V38" i="11" s="1"/>
  <c r="R43" i="11"/>
  <c r="S14" i="11"/>
  <c r="S17" i="11" s="1"/>
  <c r="Z38" i="9" l="1"/>
  <c r="U20" i="11" s="1"/>
  <c r="U21" i="11" s="1"/>
  <c r="U24" i="11" s="1"/>
  <c r="U25" i="11" s="1"/>
  <c r="V22" i="11" s="1"/>
  <c r="AA27" i="9"/>
  <c r="E8" i="9"/>
  <c r="E27" i="9"/>
  <c r="AA9" i="9"/>
  <c r="AA31" i="9"/>
  <c r="AA50" i="9"/>
  <c r="E16" i="9"/>
  <c r="E53" i="9"/>
  <c r="AA10" i="9"/>
  <c r="AA34" i="9"/>
  <c r="AA51" i="9"/>
  <c r="AA16" i="9"/>
  <c r="E41" i="9"/>
  <c r="E9" i="9"/>
  <c r="E32" i="9"/>
  <c r="E51" i="9"/>
  <c r="E42" i="9"/>
  <c r="AA7" i="9"/>
  <c r="E48" i="9"/>
  <c r="AA17" i="9"/>
  <c r="E24" i="9"/>
  <c r="E36" i="9"/>
  <c r="E37" i="9"/>
  <c r="AA24" i="9"/>
  <c r="E29" i="9"/>
  <c r="AA22" i="9"/>
  <c r="E35" i="9"/>
  <c r="E25" i="9"/>
  <c r="E13" i="9"/>
  <c r="AA47" i="9"/>
  <c r="E28" i="9"/>
  <c r="AA23" i="9"/>
  <c r="AA36" i="9"/>
  <c r="E15" i="9"/>
  <c r="AA25" i="9"/>
  <c r="AA48" i="9"/>
  <c r="AA28" i="9"/>
  <c r="AA53" i="9"/>
  <c r="E50" i="9"/>
  <c r="E34" i="9"/>
  <c r="AA29" i="9"/>
  <c r="AA54" i="9"/>
  <c r="E23" i="9"/>
  <c r="E31" i="9"/>
  <c r="AA35" i="9"/>
  <c r="E54" i="9"/>
  <c r="AA11" i="9"/>
  <c r="E47" i="9"/>
  <c r="E10" i="9"/>
  <c r="AA13" i="9"/>
  <c r="AA41" i="9"/>
  <c r="E11" i="9"/>
  <c r="E22" i="9"/>
  <c r="AA14" i="9"/>
  <c r="AA8" i="9"/>
  <c r="AA15" i="9"/>
  <c r="E14" i="9"/>
  <c r="AA37" i="9"/>
  <c r="E7" i="9"/>
  <c r="AA42" i="9"/>
  <c r="E17" i="9"/>
  <c r="Z43" i="9"/>
  <c r="U28" i="11" s="1"/>
  <c r="U29" i="11" s="1"/>
  <c r="U32" i="11" s="1"/>
  <c r="U33" i="11" s="1"/>
  <c r="V30" i="11" s="1"/>
  <c r="Z18" i="9"/>
  <c r="U12" i="11" s="1"/>
  <c r="U13" i="11" s="1"/>
  <c r="U16" i="11" s="1"/>
  <c r="S43" i="11"/>
  <c r="T14" i="11"/>
  <c r="T17" i="11" s="1"/>
  <c r="AA43" i="9" l="1"/>
  <c r="AA38" i="9"/>
  <c r="AA18" i="9"/>
  <c r="AA55" i="9"/>
  <c r="T43" i="11"/>
  <c r="U14" i="11"/>
  <c r="U17" i="11" s="1"/>
  <c r="V36" i="11" l="1"/>
  <c r="V37" i="11" s="1"/>
  <c r="V40" i="11" s="1"/>
  <c r="V41" i="11" s="1"/>
  <c r="AB55" i="9"/>
  <c r="V12" i="11"/>
  <c r="V13" i="11" s="1"/>
  <c r="V16" i="11" s="1"/>
  <c r="AB18" i="9"/>
  <c r="V20" i="11"/>
  <c r="V21" i="11" s="1"/>
  <c r="V24" i="11" s="1"/>
  <c r="V25" i="11" s="1"/>
  <c r="AB38" i="9"/>
  <c r="V28" i="11"/>
  <c r="V29" i="11" s="1"/>
  <c r="V32" i="11" s="1"/>
  <c r="V33" i="11" s="1"/>
  <c r="AB43" i="9"/>
  <c r="U43" i="11"/>
  <c r="V14" i="11"/>
  <c r="V17" i="11" s="1"/>
  <c r="V43" i="11" s="1"/>
  <c r="AB56" i="9" l="1"/>
</calcChain>
</file>

<file path=xl/sharedStrings.xml><?xml version="1.0" encoding="utf-8"?>
<sst xmlns="http://schemas.openxmlformats.org/spreadsheetml/2006/main" count="763" uniqueCount="382">
  <si>
    <t>Meerjarenonderhoudsplanning (30 jaar)</t>
  </si>
  <si>
    <t>Uitgangspunten:</t>
  </si>
  <si>
    <t>Legenda:</t>
  </si>
  <si>
    <t>Startjaar planning</t>
  </si>
  <si>
    <t>Begeleidings-/advieskosten:</t>
  </si>
  <si>
    <t>0: N.v.t</t>
  </si>
  <si>
    <t>Co.</t>
  </si>
  <si>
    <t>: Conditie (conform NEN2767)</t>
  </si>
  <si>
    <t>Valuta</t>
  </si>
  <si>
    <t>Euro</t>
  </si>
  <si>
    <t>BTW:</t>
  </si>
  <si>
    <t>1: Uitstekende conditie</t>
  </si>
  <si>
    <t>Cy.</t>
  </si>
  <si>
    <t>: Onderhoudscyclus</t>
  </si>
  <si>
    <t>Prijspeil</t>
  </si>
  <si>
    <t>2: Goede conditie</t>
  </si>
  <si>
    <t>Ehd.</t>
  </si>
  <si>
    <t>: Eenheid</t>
  </si>
  <si>
    <t>3: Redelijke conditie</t>
  </si>
  <si>
    <t>%</t>
  </si>
  <si>
    <t>: Uit te voeren hoeveelheid (t.o.v. totaal)</t>
  </si>
  <si>
    <t>4: Matige conditie</t>
  </si>
  <si>
    <t>5: Slechte conditie</t>
  </si>
  <si>
    <t>6: Zeer slechte conditie</t>
  </si>
  <si>
    <t>Omschrijving</t>
  </si>
  <si>
    <t>Kenmerken</t>
  </si>
  <si>
    <t>Planning</t>
  </si>
  <si>
    <t>Statistieken</t>
  </si>
  <si>
    <t>Opmerkingen/toelichting</t>
  </si>
  <si>
    <t>VDS</t>
  </si>
  <si>
    <t>Aantal</t>
  </si>
  <si>
    <t>€/ehd</t>
  </si>
  <si>
    <t>BTW</t>
  </si>
  <si>
    <t>Totaalprijs</t>
  </si>
  <si>
    <t>Begin</t>
  </si>
  <si>
    <t>Eind</t>
  </si>
  <si>
    <t>Gem./jaar</t>
  </si>
  <si>
    <t>Gem. oneindig</t>
  </si>
  <si>
    <t>Totaal</t>
  </si>
  <si>
    <t>Gevels</t>
  </si>
  <si>
    <t>A</t>
  </si>
  <si>
    <t>Hang- sluitw.buitenkoz.inspecteren/repareren nodig ivm onderhoudscontract?</t>
  </si>
  <si>
    <t>pst</t>
  </si>
  <si>
    <t>21%</t>
  </si>
  <si>
    <t>Inspecteren/repareren hang- en sluitwerk (inschatting).</t>
  </si>
  <si>
    <t>Buitenkozijnen (aluminium, inclusief bewegende delen) vervangen</t>
  </si>
  <si>
    <t>m²</t>
  </si>
  <si>
    <t>De aluminium kozijnen in de gevels.</t>
  </si>
  <si>
    <t>Buitenwandafwerking (composiet houten gevelbekleding) vervangen</t>
  </si>
  <si>
    <t>De gevelbekleding (BG).</t>
  </si>
  <si>
    <t>Metselwerk - baksteen (buiten) herstellen</t>
  </si>
  <si>
    <t>Post t.b.v. herstellen/vervangen steenstrips (incl. inzet hoogwerker).</t>
  </si>
  <si>
    <t>Daken</t>
  </si>
  <si>
    <t xml:space="preserve">Steigerwerk/bereikbaarheid (tijdelijk)   </t>
  </si>
  <si>
    <t>Bereikbaarheidsvoorzieningen t.b.v. dakwerkzaamheden.</t>
  </si>
  <si>
    <t>Aanlijnbeveiliging aanbrengen/vernieuwen</t>
  </si>
  <si>
    <t>Vervangen aanlijnbeveiliging (inschatting).</t>
  </si>
  <si>
    <t>Vlakke dakafwerkingen (bitumen, APP, incl. ballastlaag, &gt;200 m2) overlagen</t>
  </si>
  <si>
    <t>Dakafwerking hoogst gelegen dakvlak (over beataand aanbrengen).</t>
  </si>
  <si>
    <t>Vlakke dakafwerkingen (bitumen, APP, incl. ballastlaag, &gt;200 m2) vervangen</t>
  </si>
  <si>
    <t>Dakafwerking hoogst gelegen dakvlak (volledig vernieuwen)</t>
  </si>
  <si>
    <t>Drainagetegels (beton) vervangen</t>
  </si>
  <si>
    <t>De betontegels t.p.v. het gemeenschappelijke dakterras.</t>
  </si>
  <si>
    <t>Galerij VD1 en dakterrassen VD1 en VD2 (over bestaand aanbrengen).</t>
  </si>
  <si>
    <t>Galerij VD1 en dakterrassen VD1 en VD2 (volledig vernieuwen).</t>
  </si>
  <si>
    <t>Betontegels t.p.v. galerij VD1 en dakterrassen VD1 en VD2.</t>
  </si>
  <si>
    <t>Sedumdak vervangen</t>
  </si>
  <si>
    <t>De sedum afwerking t.p.v. daken VD1 en VD2.</t>
  </si>
  <si>
    <t>Vlakke dakafwerkingen (bitumen) vervangen</t>
  </si>
  <si>
    <t>De bitumineuze afwerking t.p.v. de sedum daken.</t>
  </si>
  <si>
    <t>Lichtkoepel vervangen</t>
  </si>
  <si>
    <t>stk</t>
  </si>
  <si>
    <t>De lichtkoepel.</t>
  </si>
  <si>
    <t>Interieur</t>
  </si>
  <si>
    <t>EA</t>
  </si>
  <si>
    <t>Binnendeurkozijnen (hout, exclusief deuren) schilderen</t>
  </si>
  <si>
    <t>9%</t>
  </si>
  <si>
    <t>De deuren op de begane grond.</t>
  </si>
  <si>
    <t>Binnenwandafwerking (stucwerk/spuitwerk) schilderen; texwerk</t>
  </si>
  <si>
    <t>De wandafwerking t.p.v. de gemeenschappelijke ruimten (25% van totaal).</t>
  </si>
  <si>
    <t>Volledige schilderbeurt wandafwerking gemeenschappelijke ruimten.</t>
  </si>
  <si>
    <t>Vloerafwerking; kitwerk vervangen</t>
  </si>
  <si>
    <t>m¹</t>
  </si>
  <si>
    <t>Het kitwerk t.p.v. de balkon- en de galerijvloeren.</t>
  </si>
  <si>
    <t>Schoonloopmat vervangen</t>
  </si>
  <si>
    <t>De schoonloopmat t.p.v. gemeenschappelijk entree.</t>
  </si>
  <si>
    <t>Vloerafwerking - belijning aanbrengen/herstellen</t>
  </si>
  <si>
    <t>De belijning in de parkeergarage.</t>
  </si>
  <si>
    <t>Plafondafwerking (stucwerk/spuitwerk) schilderen; texwerk</t>
  </si>
  <si>
    <t>De plafondafwerking in het portiek.</t>
  </si>
  <si>
    <t>Postkastunit (binnenopsteling) vervangen</t>
  </si>
  <si>
    <t>De postkasten nabij de entree.</t>
  </si>
  <si>
    <t>Installaties</t>
  </si>
  <si>
    <t>Deurdranger (interieur) vervangen</t>
  </si>
  <si>
    <t>De deurdrangers (interieur).</t>
  </si>
  <si>
    <t>P</t>
  </si>
  <si>
    <t>Overheaddeur (elektrisch bedienbaar) vervangen</t>
  </si>
  <si>
    <t>Vervangen overheaddeuren.</t>
  </si>
  <si>
    <t>Binnenriolering - standleiding reinigen</t>
  </si>
  <si>
    <t>Reinigen standleidingen (inschatting).</t>
  </si>
  <si>
    <t>Vuilwaterafvoerpomp vervangen</t>
  </si>
  <si>
    <t>De vuilwaterpomp.</t>
  </si>
  <si>
    <t>Drukverhogingsinstallatie (tweepomps-systeem) vervangen</t>
  </si>
  <si>
    <t>Het drukverhogingssysteem.</t>
  </si>
  <si>
    <t>Elektrische boiler (10 liter) vervangen</t>
  </si>
  <si>
    <t>De boiler.</t>
  </si>
  <si>
    <t>EAC</t>
  </si>
  <si>
    <t>Luchtbehandeling (diversen) onderhouden</t>
  </si>
  <si>
    <t>De luchtbehandelingkast op het dak (inschatting).</t>
  </si>
  <si>
    <t>LBK kanalen reinigen appartementen</t>
  </si>
  <si>
    <t>1</t>
  </si>
  <si>
    <t>LBK kanalen reinigen appartementen + centrale kanalen</t>
  </si>
  <si>
    <t>LBK motoren tussentijds</t>
  </si>
  <si>
    <t>Gasdetectie-installatie; diverse onderdelen vervangen</t>
  </si>
  <si>
    <t>Vervangen accu's (conform opgave Novenco).</t>
  </si>
  <si>
    <t>Gasdetectie-installatie; in 2022/23 vervangen lagers 1532</t>
  </si>
  <si>
    <t>Revisie lagers, vervangen LPG sensoren en noodstroomvoorziening (conform opgave Novenco).</t>
  </si>
  <si>
    <t>Vervangen CO sensoren (conform opgave Novenco).</t>
  </si>
  <si>
    <t>Vervangen schakelkast/systeem (conform opgave Novenco).</t>
  </si>
  <si>
    <t>Vervangen schakelkast en ventilatoren (conform opgave Novenco).</t>
  </si>
  <si>
    <t>Stroomopwekking; zonnepanelen de- en hermonteren</t>
  </si>
  <si>
    <t>Post t.b.v. de- en hermonteren zonnepanelen.</t>
  </si>
  <si>
    <t>Stroomopwekking; zonnepanelen vervangen</t>
  </si>
  <si>
    <t>De zonnenpanelen.</t>
  </si>
  <si>
    <t>Stroomopwekking (zonnepanelen); omvormers vervangen</t>
  </si>
  <si>
    <t>De omvormer.</t>
  </si>
  <si>
    <t>Verlichting, armaturen vervangen</t>
  </si>
  <si>
    <t>De armaturen (exterieur).</t>
  </si>
  <si>
    <t>De armaturen (interieur).</t>
  </si>
  <si>
    <t>Decentrale noodverlichtingsarmaturen vervangen</t>
  </si>
  <si>
    <t>De noodstroomarmaturen.</t>
  </si>
  <si>
    <t>Decen.noodstrerl, accu's vervangen nov 2020 32 accus 3.292 Euro</t>
  </si>
  <si>
    <t>De noodstroomaccu's.</t>
  </si>
  <si>
    <t>Droge stijgleidingen beproeven/controleren</t>
  </si>
  <si>
    <t>Post t.b.v. beproeven/controleren droge blusleiding.</t>
  </si>
  <si>
    <t>Bellentableau vervangen</t>
  </si>
  <si>
    <t>Het bellentableau nabij de entree.</t>
  </si>
  <si>
    <t>Bellentableau; huisinstallatie (beeldspraak) vervangen</t>
  </si>
  <si>
    <t>De installatie in de woningen.</t>
  </si>
  <si>
    <r>
      <rPr>
        <i/>
        <sz val="11"/>
        <color rgb="FF000000"/>
        <rFont val="Calibri"/>
        <family val="2"/>
      </rPr>
      <t>Hefplateau</t>
    </r>
    <r>
      <rPr>
        <sz val="11"/>
        <color rgb="FF000000"/>
        <rFont val="Calibri"/>
        <family val="2"/>
      </rPr>
      <t xml:space="preserve"> Personenlift, diverse onderdelen vervangen</t>
    </r>
  </si>
  <si>
    <t>De accu (conform opgave Aesy Liften).</t>
  </si>
  <si>
    <t>V-snaren en landingscontacten (conform opgave Aesy Liften).</t>
  </si>
  <si>
    <t>Alarmprint, geleider sloffen (conform opgave Aesy Liften).</t>
  </si>
  <si>
    <t>Motor (conform opgave Aesy Liften).</t>
  </si>
  <si>
    <t>Moer (conform opgave Aesy Liften).</t>
  </si>
  <si>
    <t>Noodvoeding kooi (conform opgave Orona).</t>
  </si>
  <si>
    <t>Personenlift, diverse onderdelen vervangen</t>
  </si>
  <si>
    <t>Regeling, deurrollen, -kabels, -sloffen, lichtlijst, buffers, fotocel, sloffen/voering/smering (conform opgave Orona).</t>
  </si>
  <si>
    <t>Deuraandrijving, kooitableau spreekluisterunit, schachttableaus, etagestandaanwijzing BG, snelheidsbegrenzer, spanwiel, kabel snelheidsbegrenzer (conform opgave Orona).</t>
  </si>
  <si>
    <t>Hoofdstroomrelais, stuurstroomrelais, schachtinformatie, tractieschijf, omleidwielen, draagkabels (conform opgave Orona).</t>
  </si>
  <si>
    <t>Besturing, aandrijving compleet, juk&amp; TG-sloffen/voering/smering, kooibekleding (conform opgave Orona).</t>
  </si>
  <si>
    <t>automatische kooi- en schachtdeur, vanginrichting (conform opgave Orona).</t>
  </si>
  <si>
    <t>Diversen</t>
  </si>
  <si>
    <t xml:space="preserve">Herinspectie / actualisatie MJOP   </t>
  </si>
  <si>
    <t>Herinspectie (op basis van reeds aanwezige gegevens).</t>
  </si>
  <si>
    <t>Totaal incl. BTW &amp; incl. begeleidingskosten</t>
  </si>
  <si>
    <t>Correctie inflatie</t>
  </si>
  <si>
    <t>Gehanteerde inflatie</t>
  </si>
  <si>
    <t>Per jaar</t>
  </si>
  <si>
    <t>Toedeling naar verdeelsleutels incl. inflatie</t>
  </si>
  <si>
    <t>gebaseerd op verdeelsleutels in kolom A</t>
  </si>
  <si>
    <t>Allen</t>
  </si>
  <si>
    <t>Zie boven</t>
  </si>
  <si>
    <t>Na index</t>
  </si>
  <si>
    <t>Beginsaldo</t>
  </si>
  <si>
    <t>Dotatatie+inflatie</t>
  </si>
  <si>
    <t>Uitgaven</t>
  </si>
  <si>
    <t>Eindsaldo</t>
  </si>
  <si>
    <t>Was</t>
  </si>
  <si>
    <t>Etage appartementen</t>
  </si>
  <si>
    <t>Etage + commercieel</t>
  </si>
  <si>
    <t>Parkeren</t>
  </si>
  <si>
    <t>Totaal dotaties</t>
  </si>
  <si>
    <t>TOTAAL</t>
  </si>
  <si>
    <t>Stappen bewerking ivm herzieing nieuw begrotingsjaar</t>
  </si>
  <si>
    <t>Ruwe berekening per appartement naar rato</t>
  </si>
  <si>
    <t>Verschil per reserve</t>
  </si>
  <si>
    <t>Bijstellen ivm nieuw inzicht uitgaven, zie wijzigingen in geel</t>
  </si>
  <si>
    <t>Etage</t>
  </si>
  <si>
    <t>E+C</t>
  </si>
  <si>
    <t>Parkeer</t>
  </si>
  <si>
    <t>Per stuk</t>
  </si>
  <si>
    <t>Wordt</t>
  </si>
  <si>
    <t>Verschil</t>
  </si>
  <si>
    <t xml:space="preserve">Met doelzoeken naar nul </t>
  </si>
  <si>
    <t>Losse appartementen</t>
  </si>
  <si>
    <t>Commercieel</t>
  </si>
  <si>
    <t>Liquiditeitsverloop totaal VvE PUUUR-BSH, exclusief te ontvangen rente (verlaagt jaarlijkse bijdrage in begroting)</t>
  </si>
  <si>
    <t>Donatie+inflatie</t>
  </si>
  <si>
    <t>Prijs na index</t>
  </si>
  <si>
    <t>Index aanpassen beginprijs</t>
  </si>
  <si>
    <t>Rekeninflatie per jaar</t>
  </si>
  <si>
    <t>Incl.</t>
  </si>
  <si>
    <r>
      <rPr>
        <b/>
        <sz val="11"/>
        <color rgb="FF000000"/>
        <rFont val="Calibri"/>
        <family val="2"/>
      </rPr>
      <t>Condities</t>
    </r>
    <r>
      <rPr>
        <sz val="11"/>
        <color rgb="FF000000"/>
        <rFont val="Calibri"/>
        <family val="2"/>
      </rPr>
      <t xml:space="preserve"> (vlgns </t>
    </r>
    <r>
      <rPr>
        <b/>
        <sz val="11"/>
        <color rgb="FF000000"/>
        <rFont val="Calibri"/>
        <family val="2"/>
      </rPr>
      <t>Nen</t>
    </r>
    <r>
      <rPr>
        <sz val="11"/>
        <color rgb="FF000000"/>
        <rFont val="Calibri"/>
        <family val="2"/>
      </rPr>
      <t xml:space="preserve"> 2767)</t>
    </r>
  </si>
  <si>
    <t>Zonnepanelen vervangen</t>
  </si>
  <si>
    <t xml:space="preserve"> </t>
  </si>
  <si>
    <t>Geindexeerde uitgaven</t>
  </si>
  <si>
    <t>Nieuwbouwwoningen; inputprijsindex bouwkosten 2015=100 (cbs.nl)</t>
  </si>
  <si>
    <t>Etage apartementen</t>
  </si>
  <si>
    <t>Breukdeel LBK</t>
  </si>
  <si>
    <t>Apartementen</t>
  </si>
  <si>
    <t>Breukdeel excl.pp</t>
  </si>
  <si>
    <t>Gelijkdeel excl.pp</t>
  </si>
  <si>
    <t>Gelijkdeel parkeren</t>
  </si>
  <si>
    <t>Per lid</t>
  </si>
  <si>
    <t>Per mnd</t>
  </si>
  <si>
    <t>Bedrag</t>
  </si>
  <si>
    <t>Breukdelen</t>
  </si>
  <si>
    <t>Te verdelen</t>
  </si>
  <si>
    <t>Index</t>
  </si>
  <si>
    <t>10 - Papaverweg 69</t>
  </si>
  <si>
    <t>11 - Papaverweg 67</t>
  </si>
  <si>
    <t>12 - Papaverweg 65</t>
  </si>
  <si>
    <t>13 - Papaverweg 63</t>
  </si>
  <si>
    <t>14 - Papaverweg 61</t>
  </si>
  <si>
    <t>15 - Papaverweg 79</t>
  </si>
  <si>
    <t>16 - Papaverweg 77</t>
  </si>
  <si>
    <t>17 - Papaverweg 75</t>
  </si>
  <si>
    <t>18 - Papaverweg 73</t>
  </si>
  <si>
    <t>19 - Papaverweg 71</t>
  </si>
  <si>
    <t>1 - Ridderspoorweg 107</t>
  </si>
  <si>
    <t>20 - Papaverweg 89</t>
  </si>
  <si>
    <t>21 - Papaverweg 85</t>
  </si>
  <si>
    <t>22 - Papaverweg 81</t>
  </si>
  <si>
    <t>23 - Papaverweg 99</t>
  </si>
  <si>
    <t>24 - Papaverweg 97</t>
  </si>
  <si>
    <t>25 - Papaverweg 93</t>
  </si>
  <si>
    <t>26 - Papaverweg 91</t>
  </si>
  <si>
    <t>27 - Papaverweg 109</t>
  </si>
  <si>
    <t>28 - Papaverweg 105</t>
  </si>
  <si>
    <t>29 - Papaverweg 101</t>
  </si>
  <si>
    <t>2 - Christofelkruidstraat 4</t>
  </si>
  <si>
    <t>30 - Papaverweg 119</t>
  </si>
  <si>
    <t>31 - Papaverweg 115</t>
  </si>
  <si>
    <t>32 - Papaverweg 111</t>
  </si>
  <si>
    <t>3 - Papaverweg 53</t>
  </si>
  <si>
    <t>4 - Papaverweg 51</t>
  </si>
  <si>
    <t>5 - Papaverweg 49</t>
  </si>
  <si>
    <t>6 - Papaverweg 47</t>
  </si>
  <si>
    <t>7 - Papaverweg 59</t>
  </si>
  <si>
    <t>8 - Papaverweg 57</t>
  </si>
  <si>
    <t>9 - Papaverweg 55</t>
  </si>
  <si>
    <t xml:space="preserve">33 - </t>
  </si>
  <si>
    <t xml:space="preserve">34 - </t>
  </si>
  <si>
    <t xml:space="preserve">35 - </t>
  </si>
  <si>
    <t xml:space="preserve">36 - </t>
  </si>
  <si>
    <t xml:space="preserve">37 - </t>
  </si>
  <si>
    <t xml:space="preserve">38 - </t>
  </si>
  <si>
    <t xml:space="preserve">39 - </t>
  </si>
  <si>
    <t xml:space="preserve">40 - </t>
  </si>
  <si>
    <t xml:space="preserve">41 - </t>
  </si>
  <si>
    <t xml:space="preserve">42 - </t>
  </si>
  <si>
    <t xml:space="preserve">43 - </t>
  </si>
  <si>
    <t xml:space="preserve">44 - </t>
  </si>
  <si>
    <t xml:space="preserve">45 - </t>
  </si>
  <si>
    <t xml:space="preserve">46 - </t>
  </si>
  <si>
    <t xml:space="preserve">47 - </t>
  </si>
  <si>
    <t xml:space="preserve">48 - </t>
  </si>
  <si>
    <t xml:space="preserve">49 - </t>
  </si>
  <si>
    <t xml:space="preserve">50 - </t>
  </si>
  <si>
    <t xml:space="preserve">51 - </t>
  </si>
  <si>
    <t xml:space="preserve">52 - </t>
  </si>
  <si>
    <t xml:space="preserve">53 - </t>
  </si>
  <si>
    <t xml:space="preserve">54 - </t>
  </si>
  <si>
    <t xml:space="preserve">55 - </t>
  </si>
  <si>
    <t xml:space="preserve">56 - </t>
  </si>
  <si>
    <t xml:space="preserve">57 - </t>
  </si>
  <si>
    <t xml:space="preserve">58 - </t>
  </si>
  <si>
    <t xml:space="preserve">59 - </t>
  </si>
  <si>
    <t xml:space="preserve">60 - </t>
  </si>
  <si>
    <t xml:space="preserve">61 - </t>
  </si>
  <si>
    <t xml:space="preserve">62 - </t>
  </si>
  <si>
    <t xml:space="preserve">63 - </t>
  </si>
  <si>
    <t xml:space="preserve">64 - </t>
  </si>
  <si>
    <t xml:space="preserve">65 - </t>
  </si>
  <si>
    <t xml:space="preserve">66 - </t>
  </si>
  <si>
    <t xml:space="preserve">67 - </t>
  </si>
  <si>
    <t xml:space="preserve">68 - </t>
  </si>
  <si>
    <t xml:space="preserve">69 - </t>
  </si>
  <si>
    <t xml:space="preserve">70 - </t>
  </si>
  <si>
    <t xml:space="preserve">71 - </t>
  </si>
  <si>
    <t xml:space="preserve">72 - </t>
  </si>
  <si>
    <t xml:space="preserve">73 - </t>
  </si>
  <si>
    <t xml:space="preserve">74 - </t>
  </si>
  <si>
    <t xml:space="preserve">75 - </t>
  </si>
  <si>
    <t xml:space="preserve">76 - </t>
  </si>
  <si>
    <t xml:space="preserve">77 - </t>
  </si>
  <si>
    <t xml:space="preserve">78 - </t>
  </si>
  <si>
    <t xml:space="preserve">79 - </t>
  </si>
  <si>
    <t xml:space="preserve">80 - </t>
  </si>
  <si>
    <t xml:space="preserve">81 - </t>
  </si>
  <si>
    <t xml:space="preserve">82 - </t>
  </si>
  <si>
    <t xml:space="preserve">83 - </t>
  </si>
  <si>
    <t xml:space="preserve">84 - </t>
  </si>
  <si>
    <t xml:space="preserve">85 - </t>
  </si>
  <si>
    <t xml:space="preserve">86 - </t>
  </si>
  <si>
    <t xml:space="preserve">87 - </t>
  </si>
  <si>
    <t xml:space="preserve">88 - </t>
  </si>
  <si>
    <t xml:space="preserve">89 - </t>
  </si>
  <si>
    <t xml:space="preserve">90 - </t>
  </si>
  <si>
    <t xml:space="preserve">91 - </t>
  </si>
  <si>
    <t xml:space="preserve">92 - </t>
  </si>
  <si>
    <t xml:space="preserve">93 - </t>
  </si>
  <si>
    <t>94 - Papaverweg 45</t>
  </si>
  <si>
    <t>95 - Ridderspoorweg 105</t>
  </si>
  <si>
    <t>96 - Papaverweg 121</t>
  </si>
  <si>
    <t>Check</t>
  </si>
  <si>
    <t>Jaar</t>
  </si>
  <si>
    <t>Deuren begane grond schilderen</t>
  </si>
  <si>
    <t>Freq.jr.</t>
  </si>
  <si>
    <t>Start</t>
  </si>
  <si>
    <t>254 m2</t>
  </si>
  <si>
    <t>Schilderwerk bgg 25% bijwerken</t>
  </si>
  <si>
    <t>Schilderwerk bgg geheel</t>
  </si>
  <si>
    <t>Kitwerk balkon en galerij vervangen</t>
  </si>
  <si>
    <t>350 m</t>
  </si>
  <si>
    <t>147 m2</t>
  </si>
  <si>
    <t>Licht periodiek onderhoud 1</t>
  </si>
  <si>
    <t>Licht periodiek onderhoud 2</t>
  </si>
  <si>
    <t>Groot periodiek onderhoud 1</t>
  </si>
  <si>
    <t>Groot periodiek onderhoud 2</t>
  </si>
  <si>
    <t>Verlichting</t>
  </si>
  <si>
    <r>
      <t xml:space="preserve">Armaturen nieuw </t>
    </r>
    <r>
      <rPr>
        <sz val="8"/>
        <color theme="1"/>
        <rFont val="Calibri"/>
        <family val="2"/>
        <scheme val="minor"/>
      </rPr>
      <t>(26x Nood, 180 x regulier)</t>
    </r>
  </si>
  <si>
    <t>Noodstroomaccu's</t>
  </si>
  <si>
    <t xml:space="preserve">Plafond in hal </t>
  </si>
  <si>
    <t>Schilderwerk</t>
  </si>
  <si>
    <t>Postkast vervangen</t>
  </si>
  <si>
    <t>Bellentableau en videofoon vervangen</t>
  </si>
  <si>
    <t>Installatie</t>
  </si>
  <si>
    <r>
      <t xml:space="preserve">Dak hoogbouw </t>
    </r>
    <r>
      <rPr>
        <sz val="9"/>
        <color theme="1"/>
        <rFont val="Calibri"/>
        <family val="2"/>
        <scheme val="minor"/>
      </rPr>
      <t>(geheel nieuw)*</t>
    </r>
  </si>
  <si>
    <r>
      <t xml:space="preserve">Dak hoogbouw </t>
    </r>
    <r>
      <rPr>
        <sz val="9"/>
        <color theme="1"/>
        <rFont val="Calibri"/>
        <family val="2"/>
        <scheme val="minor"/>
      </rPr>
      <t>(bitumen over bestaand)</t>
    </r>
    <r>
      <rPr>
        <sz val="11"/>
        <color theme="1"/>
        <rFont val="Calibri"/>
        <family val="2"/>
        <scheme val="minor"/>
      </rPr>
      <t>*</t>
    </r>
  </si>
  <si>
    <t>*incl. bitumen, stijger, zonnepanelen, aanlijn</t>
  </si>
  <si>
    <t>316 m2</t>
  </si>
  <si>
    <r>
      <t xml:space="preserve">Dak laagbouw </t>
    </r>
    <r>
      <rPr>
        <sz val="9"/>
        <color theme="1"/>
        <rFont val="Calibri"/>
        <family val="2"/>
        <scheme val="minor"/>
      </rPr>
      <t>(bitumen over bestaand)</t>
    </r>
  </si>
  <si>
    <t>634 m2</t>
  </si>
  <si>
    <t>110 m2</t>
  </si>
  <si>
    <t>Sedum dak vervangen incl.bitumen</t>
  </si>
  <si>
    <r>
      <t xml:space="preserve">Dak laagbouw </t>
    </r>
    <r>
      <rPr>
        <sz val="9"/>
        <color theme="1"/>
        <rFont val="Calibri"/>
        <family val="2"/>
        <scheme val="minor"/>
      </rPr>
      <t>(bitumen geheel nieuw)</t>
    </r>
    <r>
      <rPr>
        <sz val="11"/>
        <color theme="1"/>
        <rFont val="Calibri"/>
        <family val="2"/>
        <scheme val="minor"/>
      </rPr>
      <t xml:space="preserve"> **</t>
    </r>
  </si>
  <si>
    <t>** incl. dreinagetegels vervangen</t>
  </si>
  <si>
    <t>Omvormers vervangen</t>
  </si>
  <si>
    <t>Buitenverlichting vervangen</t>
  </si>
  <si>
    <t>Hydrofoor (twee-pomps) vervangen</t>
  </si>
  <si>
    <t>Reinigen standleidingen</t>
  </si>
  <si>
    <t>* gevel niet opgenomen/nvt?</t>
  </si>
  <si>
    <t>Vervanging installatie</t>
  </si>
  <si>
    <t>Garagedeuren vervangen</t>
  </si>
  <si>
    <t>Gasdetectie klein periodiek*</t>
  </si>
  <si>
    <t>* 5 en 7 jaar samen en jaar aangepast</t>
  </si>
  <si>
    <t>Vervanging schakelkast en ventilatoren**</t>
  </si>
  <si>
    <t>** 15 jr (€ 13.000) en 25 jaar samen ivm eenvoud</t>
  </si>
  <si>
    <t>*4 &amp; 6 jaar en 10 &amp; 12 jaar samengevoegd ivm eenvoud en diverse klein</t>
  </si>
  <si>
    <t>Periodiek onderhoud 1*</t>
  </si>
  <si>
    <t>Periodiek onderhoud 2, motoren*</t>
  </si>
  <si>
    <t>Deuren en pomp</t>
  </si>
  <si>
    <t>Beknopte weergave planmatig onderhoud</t>
  </si>
  <si>
    <t>Dak (Mastum)</t>
  </si>
  <si>
    <t>Grote lift (Orona)</t>
  </si>
  <si>
    <t>LBK (Klaver)</t>
  </si>
  <si>
    <t>Gasdetectie (Novenco)</t>
  </si>
  <si>
    <t>Kleine lift (Aesy)</t>
  </si>
  <si>
    <t>Beginjaar</t>
  </si>
  <si>
    <t>Herhaal</t>
  </si>
  <si>
    <t>Uitgaven prijspeil heden</t>
  </si>
  <si>
    <t>Inflatie %</t>
  </si>
  <si>
    <t>LBK</t>
  </si>
  <si>
    <t>Index correctie prjspeil nu</t>
  </si>
  <si>
    <t>Prijspeil basisjaar was</t>
  </si>
  <si>
    <t>Berekening van de dotaties per fonds</t>
  </si>
  <si>
    <t>Huidig saldo</t>
  </si>
  <si>
    <t>Dotatie nu</t>
  </si>
  <si>
    <t>Dotatie wordt</t>
  </si>
  <si>
    <t>Totaal liquiditeitsverloop</t>
  </si>
  <si>
    <t>0 = nul</t>
  </si>
  <si>
    <t>Blauwe veld eindsalo</t>
  </si>
  <si>
    <t>waarde = 0</t>
  </si>
  <si>
    <t xml:space="preserve">Op gele veld Dotatie startkaar </t>
  </si>
  <si>
    <t xml:space="preserve">In Excel: ga naar gegevens, Wat als analyse, doelzoeken. </t>
  </si>
  <si>
    <t>Hoe bereken je de benodigde dotatie?</t>
  </si>
  <si>
    <t>Belijning in garage vernieuwen laten vervallen. Zelf doen indien nodig?</t>
  </si>
  <si>
    <t>Groene veld invoeren</t>
  </si>
  <si>
    <t>2022 = 127,5; 2023 = 134,2; verschil 6,7 % + 2,9 % verwachte inflatie in 2024</t>
  </si>
  <si>
    <t>Vervanging motoren (tenzij vervanging geheel)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</si>
</sst>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&quot;* #,##0_);_(&quot;&quot;* \(#,##0.00\);_(&quot;&quot;* #,##0_);_(@_)"/>
    <numFmt numFmtId="165" formatCode="_(&quot;€&quot;* #,##0_);_(&quot;€&quot;* \(#,##0\);_(&quot;€&quot;* &quot;-&quot;??_);_(@_)"/>
    <numFmt numFmtId="166" formatCode="_(&quot;€&quot;* #,##0_);_(&quot;€&quot;* \(#,##0.00\);_(&quot;€&quot;* #,##0_);_(@_)"/>
    <numFmt numFmtId="167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rgb="FF3DC0B3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3"/>
      <color rgb="FFFFFFFF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2A3F54"/>
      <name val="Calibri"/>
      <family val="2"/>
    </font>
    <font>
      <b/>
      <sz val="11"/>
      <color rgb="FFFFFFFF"/>
      <name val="Calibri"/>
      <family val="2"/>
    </font>
    <font>
      <b/>
      <sz val="18"/>
      <color rgb="FF000000"/>
      <name val="Calibri"/>
      <family val="2"/>
    </font>
    <font>
      <b/>
      <sz val="16"/>
      <color rgb="FFFF0000"/>
      <name val="Calibri"/>
      <family val="2"/>
    </font>
    <font>
      <b/>
      <sz val="16"/>
      <color rgb="FF000000"/>
      <name val="Calibri"/>
      <family val="2"/>
    </font>
    <font>
      <sz val="9"/>
      <color rgb="FF00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D0D0D0"/>
        <bgColor rgb="FF000000"/>
      </patternFill>
    </fill>
    <fill>
      <patternFill patternType="solid">
        <fgColor rgb="FF5BB75B"/>
        <bgColor rgb="FF000000"/>
      </patternFill>
    </fill>
    <fill>
      <patternFill patternType="solid">
        <fgColor rgb="FFC5D845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90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534E"/>
        <bgColor rgb="FF000000"/>
      </patternFill>
    </fill>
    <fill>
      <patternFill patternType="solid">
        <fgColor rgb="FFC53B3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2A3F54"/>
        <bgColor rgb="FF000000"/>
      </patternFill>
    </fill>
    <fill>
      <patternFill patternType="solid">
        <fgColor rgb="FF3DC0B3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rgb="FF444444"/>
      </left>
      <right style="thin">
        <color rgb="FF444444"/>
      </right>
      <top style="thin">
        <color rgb="FF444444"/>
      </top>
      <bottom style="thin">
        <color rgb="FF444444"/>
      </bottom>
      <diagonal/>
    </border>
    <border>
      <left style="thin">
        <color rgb="FF444444"/>
      </left>
      <right style="thick">
        <color rgb="FF444444"/>
      </right>
      <top style="thin">
        <color rgb="FF444444"/>
      </top>
      <bottom style="thin">
        <color rgb="FF444444"/>
      </bottom>
      <diagonal/>
    </border>
    <border>
      <left style="thick">
        <color rgb="FF000000"/>
      </left>
      <right style="thin">
        <color rgb="FF444444"/>
      </right>
      <top style="thin">
        <color rgb="FF444444"/>
      </top>
      <bottom style="thin">
        <color rgb="FF444444"/>
      </bottom>
      <diagonal/>
    </border>
    <border>
      <left style="thin">
        <color rgb="FF444444"/>
      </left>
      <right style="thick">
        <color rgb="FF000000"/>
      </right>
      <top style="thin">
        <color rgb="FF444444"/>
      </top>
      <bottom style="thin">
        <color rgb="FF444444"/>
      </bottom>
      <diagonal/>
    </border>
    <border>
      <left style="thin">
        <color rgb="FF444444"/>
      </left>
      <right/>
      <top style="thin">
        <color rgb="FF444444"/>
      </top>
      <bottom style="thin">
        <color rgb="FF444444"/>
      </bottom>
      <diagonal/>
    </border>
    <border>
      <left/>
      <right/>
      <top style="thin">
        <color rgb="FF444444"/>
      </top>
      <bottom style="thin">
        <color rgb="FF444444"/>
      </bottom>
      <diagonal/>
    </border>
    <border>
      <left/>
      <right style="thin">
        <color rgb="FF444444"/>
      </right>
      <top style="thin">
        <color rgb="FF444444"/>
      </top>
      <bottom style="thin">
        <color rgb="FF444444"/>
      </bottom>
      <diagonal/>
    </border>
    <border>
      <left style="thick">
        <color rgb="FF000000"/>
      </left>
      <right/>
      <top style="thin">
        <color rgb="FF444444"/>
      </top>
      <bottom style="thin">
        <color rgb="FF44444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444444"/>
      </right>
      <top/>
      <bottom style="thin">
        <color rgb="FF444444"/>
      </bottom>
      <diagonal/>
    </border>
    <border>
      <left style="thin">
        <color rgb="FF44444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444444"/>
      </right>
      <top style="thin">
        <color rgb="FF44444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444444"/>
      </right>
      <top style="thin">
        <color rgb="FF444444"/>
      </top>
      <bottom style="thin">
        <color rgb="FF444444"/>
      </bottom>
      <diagonal/>
    </border>
    <border>
      <left style="thin">
        <color rgb="FF44444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391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6" fillId="10" borderId="1" xfId="0" applyFont="1" applyFill="1" applyBorder="1" applyAlignment="1">
      <alignment horizontal="center" vertical="top"/>
    </xf>
    <xf numFmtId="0" fontId="6" fillId="11" borderId="1" xfId="0" applyFont="1" applyFill="1" applyBorder="1" applyAlignment="1">
      <alignment horizontal="center" vertical="top"/>
    </xf>
    <xf numFmtId="0" fontId="7" fillId="7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12" borderId="1" xfId="0" applyFont="1" applyFill="1" applyBorder="1" applyAlignment="1">
      <alignment vertical="top"/>
    </xf>
    <xf numFmtId="0" fontId="0" fillId="13" borderId="1" xfId="0" applyFill="1" applyBorder="1" applyAlignment="1">
      <alignment vertical="top"/>
    </xf>
    <xf numFmtId="0" fontId="0" fillId="13" borderId="2" xfId="0" applyFill="1" applyBorder="1" applyAlignment="1">
      <alignment vertical="top"/>
    </xf>
    <xf numFmtId="164" fontId="0" fillId="13" borderId="1" xfId="0" applyNumberFormat="1" applyFill="1" applyBorder="1" applyAlignment="1">
      <alignment vertical="top"/>
    </xf>
    <xf numFmtId="164" fontId="0" fillId="13" borderId="3" xfId="0" applyNumberFormat="1" applyFill="1" applyBorder="1" applyAlignment="1">
      <alignment vertical="top"/>
    </xf>
    <xf numFmtId="164" fontId="0" fillId="13" borderId="4" xfId="0" applyNumberFormat="1" applyFill="1" applyBorder="1" applyAlignment="1">
      <alignment vertical="top"/>
    </xf>
    <xf numFmtId="0" fontId="4" fillId="14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165" fontId="0" fillId="0" borderId="1" xfId="0" applyNumberFormat="1" applyBorder="1" applyAlignment="1">
      <alignment vertical="top"/>
    </xf>
    <xf numFmtId="9" fontId="0" fillId="0" borderId="1" xfId="0" applyNumberFormat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164" fontId="0" fillId="7" borderId="1" xfId="0" applyNumberFormat="1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0" fontId="9" fillId="3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vertical="top"/>
    </xf>
    <xf numFmtId="0" fontId="0" fillId="15" borderId="1" xfId="0" applyFill="1" applyBorder="1" applyAlignment="1">
      <alignment horizontal="center" vertical="top"/>
    </xf>
    <xf numFmtId="49" fontId="0" fillId="15" borderId="1" xfId="0" applyNumberFormat="1" applyFill="1" applyBorder="1" applyAlignment="1">
      <alignment horizontal="right" vertical="top"/>
    </xf>
    <xf numFmtId="0" fontId="0" fillId="15" borderId="1" xfId="0" applyFill="1" applyBorder="1" applyAlignment="1">
      <alignment horizontal="left" vertical="top"/>
    </xf>
    <xf numFmtId="165" fontId="0" fillId="15" borderId="1" xfId="0" applyNumberFormat="1" applyFill="1" applyBorder="1" applyAlignment="1">
      <alignment vertical="top"/>
    </xf>
    <xf numFmtId="9" fontId="0" fillId="15" borderId="1" xfId="0" applyNumberFormat="1" applyFill="1" applyBorder="1" applyAlignment="1">
      <alignment horizontal="center" vertical="top"/>
    </xf>
    <xf numFmtId="0" fontId="0" fillId="15" borderId="2" xfId="0" applyFill="1" applyBorder="1" applyAlignment="1">
      <alignment horizontal="center" vertical="top"/>
    </xf>
    <xf numFmtId="164" fontId="0" fillId="15" borderId="1" xfId="0" applyNumberFormat="1" applyFill="1" applyBorder="1" applyAlignment="1">
      <alignment vertical="top"/>
    </xf>
    <xf numFmtId="164" fontId="0" fillId="15" borderId="3" xfId="0" applyNumberFormat="1" applyFill="1" applyBorder="1" applyAlignment="1">
      <alignment vertical="top"/>
    </xf>
    <xf numFmtId="164" fontId="0" fillId="15" borderId="4" xfId="0" applyNumberFormat="1" applyFill="1" applyBorder="1" applyAlignment="1">
      <alignment vertical="top"/>
    </xf>
    <xf numFmtId="0" fontId="4" fillId="7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4" fillId="16" borderId="1" xfId="0" applyFont="1" applyFill="1" applyBorder="1" applyAlignment="1">
      <alignment horizontal="center" vertical="top"/>
    </xf>
    <xf numFmtId="0" fontId="4" fillId="17" borderId="1" xfId="0" applyFont="1" applyFill="1" applyBorder="1" applyAlignment="1">
      <alignment horizontal="center" vertical="top"/>
    </xf>
    <xf numFmtId="0" fontId="0" fillId="18" borderId="7" xfId="0" applyFill="1" applyBorder="1" applyAlignment="1">
      <alignment horizontal="left" vertical="top" wrapText="1"/>
    </xf>
    <xf numFmtId="0" fontId="0" fillId="18" borderId="1" xfId="0" applyFill="1" applyBorder="1" applyAlignment="1">
      <alignment horizontal="center" vertical="top"/>
    </xf>
    <xf numFmtId="49" fontId="4" fillId="18" borderId="1" xfId="0" applyNumberFormat="1" applyFont="1" applyFill="1" applyBorder="1" applyAlignment="1">
      <alignment horizontal="right" vertical="top"/>
    </xf>
    <xf numFmtId="0" fontId="0" fillId="18" borderId="1" xfId="0" applyFill="1" applyBorder="1" applyAlignment="1">
      <alignment horizontal="left" vertical="top"/>
    </xf>
    <xf numFmtId="165" fontId="0" fillId="18" borderId="1" xfId="0" applyNumberFormat="1" applyFill="1" applyBorder="1" applyAlignment="1">
      <alignment vertical="top"/>
    </xf>
    <xf numFmtId="9" fontId="0" fillId="18" borderId="1" xfId="0" applyNumberFormat="1" applyFill="1" applyBorder="1" applyAlignment="1">
      <alignment horizontal="center" vertical="top"/>
    </xf>
    <xf numFmtId="164" fontId="0" fillId="10" borderId="1" xfId="0" applyNumberFormat="1" applyFill="1" applyBorder="1" applyAlignment="1">
      <alignment vertical="top"/>
    </xf>
    <xf numFmtId="164" fontId="0" fillId="18" borderId="3" xfId="0" applyNumberFormat="1" applyFill="1" applyBorder="1" applyAlignment="1">
      <alignment vertical="top"/>
    </xf>
    <xf numFmtId="164" fontId="0" fillId="18" borderId="1" xfId="0" applyNumberFormat="1" applyFill="1" applyBorder="1" applyAlignment="1">
      <alignment vertical="top"/>
    </xf>
    <xf numFmtId="164" fontId="0" fillId="18" borderId="4" xfId="0" applyNumberFormat="1" applyFill="1" applyBorder="1" applyAlignment="1">
      <alignment vertical="top"/>
    </xf>
    <xf numFmtId="49" fontId="0" fillId="18" borderId="1" xfId="0" applyNumberFormat="1" applyFill="1" applyBorder="1" applyAlignment="1">
      <alignment horizontal="right" vertical="top"/>
    </xf>
    <xf numFmtId="0" fontId="0" fillId="10" borderId="1" xfId="0" applyFill="1" applyBorder="1" applyAlignment="1">
      <alignment vertical="top"/>
    </xf>
    <xf numFmtId="0" fontId="0" fillId="10" borderId="1" xfId="0" applyFill="1" applyBorder="1" applyAlignment="1">
      <alignment horizontal="center" vertical="top"/>
    </xf>
    <xf numFmtId="0" fontId="10" fillId="10" borderId="1" xfId="0" applyFont="1" applyFill="1" applyBorder="1" applyAlignment="1">
      <alignment vertical="top"/>
    </xf>
    <xf numFmtId="49" fontId="0" fillId="10" borderId="1" xfId="0" applyNumberFormat="1" applyFill="1" applyBorder="1" applyAlignment="1">
      <alignment horizontal="right" vertical="top"/>
    </xf>
    <xf numFmtId="166" fontId="13" fillId="11" borderId="9" xfId="0" applyNumberFormat="1" applyFont="1" applyFill="1" applyBorder="1" applyAlignment="1">
      <alignment vertical="top"/>
    </xf>
    <xf numFmtId="165" fontId="3" fillId="0" borderId="0" xfId="0" applyNumberFormat="1" applyFont="1" applyAlignment="1">
      <alignment vertical="top"/>
    </xf>
    <xf numFmtId="0" fontId="14" fillId="0" borderId="0" xfId="0" applyFont="1"/>
    <xf numFmtId="9" fontId="0" fillId="0" borderId="0" xfId="1" applyFont="1"/>
    <xf numFmtId="3" fontId="0" fillId="0" borderId="0" xfId="0" applyNumberFormat="1"/>
    <xf numFmtId="0" fontId="4" fillId="0" borderId="10" xfId="0" applyFont="1" applyBorder="1"/>
    <xf numFmtId="0" fontId="0" fillId="0" borderId="11" xfId="0" applyBorder="1"/>
    <xf numFmtId="9" fontId="15" fillId="0" borderId="11" xfId="1" applyFont="1" applyBorder="1"/>
    <xf numFmtId="0" fontId="4" fillId="0" borderId="11" xfId="0" applyFont="1" applyBorder="1"/>
    <xf numFmtId="3" fontId="0" fillId="0" borderId="11" xfId="0" applyNumberFormat="1" applyBorder="1"/>
    <xf numFmtId="0" fontId="0" fillId="0" borderId="12" xfId="0" applyBorder="1"/>
    <xf numFmtId="0" fontId="3" fillId="0" borderId="1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4" fillId="0" borderId="14" xfId="0" applyFont="1" applyBorder="1"/>
    <xf numFmtId="3" fontId="0" fillId="0" borderId="14" xfId="0" applyNumberFormat="1" applyBorder="1"/>
    <xf numFmtId="3" fontId="3" fillId="0" borderId="13" xfId="0" applyNumberFormat="1" applyFont="1" applyBorder="1"/>
    <xf numFmtId="3" fontId="0" fillId="0" borderId="15" xfId="0" applyNumberForma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16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indent="1"/>
    </xf>
    <xf numFmtId="3" fontId="16" fillId="14" borderId="16" xfId="0" applyNumberFormat="1" applyFont="1" applyFill="1" applyBorder="1" applyAlignment="1">
      <alignment horizontal="center"/>
    </xf>
    <xf numFmtId="0" fontId="0" fillId="14" borderId="17" xfId="0" applyFill="1" applyBorder="1"/>
    <xf numFmtId="0" fontId="0" fillId="14" borderId="18" xfId="0" applyFill="1" applyBorder="1"/>
    <xf numFmtId="1" fontId="3" fillId="0" borderId="19" xfId="0" applyNumberFormat="1" applyFont="1" applyBorder="1" applyAlignment="1">
      <alignment horizontal="right"/>
    </xf>
    <xf numFmtId="1" fontId="3" fillId="0" borderId="17" xfId="0" applyNumberFormat="1" applyFont="1" applyBorder="1" applyAlignment="1">
      <alignment horizontal="right"/>
    </xf>
    <xf numFmtId="1" fontId="3" fillId="0" borderId="20" xfId="0" applyNumberFormat="1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14" borderId="21" xfId="0" applyFont="1" applyFill="1" applyBorder="1" applyAlignment="1">
      <alignment horizontal="center" vertical="top"/>
    </xf>
    <xf numFmtId="0" fontId="0" fillId="14" borderId="22" xfId="0" applyFill="1" applyBorder="1"/>
    <xf numFmtId="0" fontId="0" fillId="14" borderId="23" xfId="0" applyFill="1" applyBorder="1"/>
    <xf numFmtId="3" fontId="0" fillId="0" borderId="24" xfId="0" applyNumberFormat="1" applyBorder="1"/>
    <xf numFmtId="3" fontId="17" fillId="0" borderId="25" xfId="0" applyNumberFormat="1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4" fillId="14" borderId="27" xfId="0" applyFont="1" applyFill="1" applyBorder="1" applyAlignment="1">
      <alignment horizontal="center" vertical="top"/>
    </xf>
    <xf numFmtId="0" fontId="0" fillId="14" borderId="28" xfId="0" applyFill="1" applyBorder="1"/>
    <xf numFmtId="3" fontId="0" fillId="0" borderId="29" xfId="0" applyNumberFormat="1" applyBorder="1"/>
    <xf numFmtId="3" fontId="0" fillId="0" borderId="28" xfId="0" applyNumberFormat="1" applyBorder="1"/>
    <xf numFmtId="3" fontId="17" fillId="0" borderId="30" xfId="0" applyNumberFormat="1" applyFont="1" applyBorder="1" applyAlignment="1">
      <alignment horizontal="right"/>
    </xf>
    <xf numFmtId="3" fontId="3" fillId="0" borderId="31" xfId="0" applyNumberFormat="1" applyFont="1" applyBorder="1"/>
    <xf numFmtId="0" fontId="4" fillId="0" borderId="25" xfId="0" applyFont="1" applyBorder="1" applyAlignment="1">
      <alignment horizontal="center" vertical="top"/>
    </xf>
    <xf numFmtId="3" fontId="3" fillId="0" borderId="26" xfId="0" applyNumberFormat="1" applyFont="1" applyBorder="1"/>
    <xf numFmtId="0" fontId="4" fillId="0" borderId="25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0" fillId="0" borderId="28" xfId="0" applyBorder="1"/>
    <xf numFmtId="3" fontId="0" fillId="0" borderId="31" xfId="0" applyNumberFormat="1" applyBorder="1"/>
    <xf numFmtId="0" fontId="4" fillId="0" borderId="13" xfId="0" applyFont="1" applyBorder="1" applyAlignment="1">
      <alignment horizontal="left" vertical="top"/>
    </xf>
    <xf numFmtId="3" fontId="0" fillId="0" borderId="32" xfId="0" applyNumberFormat="1" applyBorder="1"/>
    <xf numFmtId="3" fontId="17" fillId="0" borderId="13" xfId="0" applyNumberFormat="1" applyFont="1" applyBorder="1" applyAlignment="1">
      <alignment horizontal="right"/>
    </xf>
    <xf numFmtId="3" fontId="3" fillId="0" borderId="15" xfId="0" applyNumberFormat="1" applyFont="1" applyBorder="1"/>
    <xf numFmtId="0" fontId="4" fillId="0" borderId="11" xfId="0" applyFont="1" applyBorder="1" applyAlignment="1">
      <alignment horizontal="center" vertical="top"/>
    </xf>
    <xf numFmtId="3" fontId="17" fillId="0" borderId="11" xfId="0" applyNumberFormat="1" applyFont="1" applyBorder="1" applyAlignment="1">
      <alignment horizontal="right"/>
    </xf>
    <xf numFmtId="3" fontId="3" fillId="0" borderId="11" xfId="0" applyNumberFormat="1" applyFont="1" applyBorder="1"/>
    <xf numFmtId="0" fontId="4" fillId="0" borderId="0" xfId="0" applyFont="1" applyAlignment="1">
      <alignment horizontal="center" vertical="top"/>
    </xf>
    <xf numFmtId="3" fontId="17" fillId="0" borderId="0" xfId="0" applyNumberFormat="1" applyFont="1" applyAlignment="1">
      <alignment horizontal="right"/>
    </xf>
    <xf numFmtId="0" fontId="18" fillId="7" borderId="10" xfId="0" applyFont="1" applyFill="1" applyBorder="1"/>
    <xf numFmtId="0" fontId="19" fillId="7" borderId="17" xfId="0" applyFont="1" applyFill="1" applyBorder="1"/>
    <xf numFmtId="0" fontId="19" fillId="7" borderId="18" xfId="0" applyFont="1" applyFill="1" applyBorder="1"/>
    <xf numFmtId="3" fontId="0" fillId="0" borderId="25" xfId="0" applyNumberFormat="1" applyBorder="1"/>
    <xf numFmtId="0" fontId="4" fillId="7" borderId="33" xfId="0" applyFont="1" applyFill="1" applyBorder="1" applyAlignment="1">
      <alignment horizontal="center" vertical="top"/>
    </xf>
    <xf numFmtId="0" fontId="0" fillId="7" borderId="34" xfId="0" applyFill="1" applyBorder="1"/>
    <xf numFmtId="0" fontId="0" fillId="7" borderId="35" xfId="0" applyFill="1" applyBorder="1"/>
    <xf numFmtId="0" fontId="4" fillId="7" borderId="27" xfId="0" applyFont="1" applyFill="1" applyBorder="1" applyAlignment="1">
      <alignment horizontal="center" vertical="top"/>
    </xf>
    <xf numFmtId="0" fontId="0" fillId="7" borderId="28" xfId="0" applyFill="1" applyBorder="1"/>
    <xf numFmtId="0" fontId="20" fillId="0" borderId="0" xfId="0" applyFont="1"/>
    <xf numFmtId="0" fontId="0" fillId="0" borderId="25" xfId="0" applyBorder="1"/>
    <xf numFmtId="0" fontId="0" fillId="0" borderId="24" xfId="0" applyBorder="1"/>
    <xf numFmtId="0" fontId="3" fillId="0" borderId="26" xfId="0" applyFont="1" applyBorder="1"/>
    <xf numFmtId="0" fontId="4" fillId="0" borderId="0" xfId="0" applyFont="1" applyAlignment="1">
      <alignment horizontal="left" vertical="top"/>
    </xf>
    <xf numFmtId="0" fontId="16" fillId="17" borderId="10" xfId="0" applyFont="1" applyFill="1" applyBorder="1"/>
    <xf numFmtId="0" fontId="0" fillId="17" borderId="17" xfId="0" applyFill="1" applyBorder="1"/>
    <xf numFmtId="0" fontId="0" fillId="17" borderId="18" xfId="0" applyFill="1" applyBorder="1"/>
    <xf numFmtId="0" fontId="4" fillId="17" borderId="33" xfId="0" applyFont="1" applyFill="1" applyBorder="1" applyAlignment="1">
      <alignment horizontal="center" vertical="top"/>
    </xf>
    <xf numFmtId="0" fontId="0" fillId="17" borderId="34" xfId="0" applyFill="1" applyBorder="1"/>
    <xf numFmtId="0" fontId="0" fillId="17" borderId="35" xfId="0" applyFill="1" applyBorder="1"/>
    <xf numFmtId="0" fontId="4" fillId="17" borderId="27" xfId="0" applyFont="1" applyFill="1" applyBorder="1" applyAlignment="1">
      <alignment horizontal="center" vertical="top"/>
    </xf>
    <xf numFmtId="0" fontId="0" fillId="17" borderId="28" xfId="0" applyFill="1" applyBorder="1"/>
    <xf numFmtId="1" fontId="0" fillId="0" borderId="0" xfId="0" applyNumberFormat="1"/>
    <xf numFmtId="0" fontId="0" fillId="0" borderId="0" xfId="0" applyAlignment="1">
      <alignment horizontal="right" vertical="top"/>
    </xf>
    <xf numFmtId="0" fontId="16" fillId="16" borderId="10" xfId="0" applyFont="1" applyFill="1" applyBorder="1"/>
    <xf numFmtId="0" fontId="0" fillId="16" borderId="17" xfId="0" applyFill="1" applyBorder="1"/>
    <xf numFmtId="0" fontId="0" fillId="16" borderId="18" xfId="0" applyFill="1" applyBorder="1"/>
    <xf numFmtId="0" fontId="4" fillId="0" borderId="0" xfId="0" applyFont="1" applyAlignment="1">
      <alignment horizontal="right" vertical="top"/>
    </xf>
    <xf numFmtId="0" fontId="4" fillId="16" borderId="33" xfId="0" applyFont="1" applyFill="1" applyBorder="1" applyAlignment="1">
      <alignment horizontal="center" vertical="top"/>
    </xf>
    <xf numFmtId="0" fontId="0" fillId="16" borderId="34" xfId="0" applyFill="1" applyBorder="1"/>
    <xf numFmtId="0" fontId="0" fillId="16" borderId="35" xfId="0" applyFill="1" applyBorder="1"/>
    <xf numFmtId="0" fontId="0" fillId="16" borderId="28" xfId="0" applyFill="1" applyBorder="1"/>
    <xf numFmtId="0" fontId="4" fillId="19" borderId="10" xfId="0" applyFont="1" applyFill="1" applyBorder="1" applyAlignment="1">
      <alignment horizontal="center"/>
    </xf>
    <xf numFmtId="0" fontId="0" fillId="19" borderId="11" xfId="0" applyFill="1" applyBorder="1"/>
    <xf numFmtId="3" fontId="17" fillId="0" borderId="10" xfId="0" applyNumberFormat="1" applyFont="1" applyBorder="1" applyAlignment="1">
      <alignment horizontal="right"/>
    </xf>
    <xf numFmtId="0" fontId="4" fillId="19" borderId="13" xfId="0" applyFont="1" applyFill="1" applyBorder="1" applyAlignment="1">
      <alignment horizontal="center"/>
    </xf>
    <xf numFmtId="0" fontId="0" fillId="19" borderId="14" xfId="0" applyFill="1" applyBorder="1"/>
    <xf numFmtId="0" fontId="3" fillId="0" borderId="0" xfId="0" applyFont="1" applyAlignment="1">
      <alignment horizontal="left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0" fontId="21" fillId="0" borderId="0" xfId="0" applyFont="1"/>
    <xf numFmtId="0" fontId="0" fillId="0" borderId="16" xfId="0" applyBorder="1"/>
    <xf numFmtId="0" fontId="0" fillId="0" borderId="17" xfId="0" applyBorder="1"/>
    <xf numFmtId="0" fontId="4" fillId="0" borderId="19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36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3" fontId="4" fillId="0" borderId="24" xfId="0" applyNumberFormat="1" applyFont="1" applyBorder="1"/>
    <xf numFmtId="3" fontId="0" fillId="0" borderId="37" xfId="0" applyNumberFormat="1" applyBorder="1"/>
    <xf numFmtId="3" fontId="4" fillId="0" borderId="25" xfId="0" applyNumberFormat="1" applyFont="1" applyBorder="1"/>
    <xf numFmtId="9" fontId="0" fillId="0" borderId="26" xfId="1" applyFont="1" applyBorder="1"/>
    <xf numFmtId="0" fontId="4" fillId="0" borderId="25" xfId="0" applyFont="1" applyBorder="1"/>
    <xf numFmtId="0" fontId="4" fillId="0" borderId="0" xfId="0" applyFont="1" applyAlignment="1">
      <alignment horizontal="left"/>
    </xf>
    <xf numFmtId="0" fontId="0" fillId="0" borderId="30" xfId="0" applyBorder="1"/>
    <xf numFmtId="3" fontId="0" fillId="0" borderId="38" xfId="0" applyNumberFormat="1" applyBorder="1"/>
    <xf numFmtId="3" fontId="0" fillId="0" borderId="39" xfId="0" applyNumberFormat="1" applyBorder="1"/>
    <xf numFmtId="0" fontId="4" fillId="0" borderId="30" xfId="0" applyFont="1" applyBorder="1"/>
    <xf numFmtId="0" fontId="0" fillId="0" borderId="29" xfId="0" applyBorder="1"/>
    <xf numFmtId="9" fontId="0" fillId="0" borderId="31" xfId="1" applyFont="1" applyBorder="1"/>
    <xf numFmtId="0" fontId="4" fillId="0" borderId="13" xfId="0" applyFont="1" applyBorder="1"/>
    <xf numFmtId="9" fontId="0" fillId="0" borderId="15" xfId="1" applyFont="1" applyBorder="1"/>
    <xf numFmtId="0" fontId="22" fillId="0" borderId="0" xfId="0" applyFont="1"/>
    <xf numFmtId="0" fontId="0" fillId="0" borderId="19" xfId="0" applyBorder="1"/>
    <xf numFmtId="0" fontId="3" fillId="0" borderId="17" xfId="0" applyFont="1" applyBorder="1"/>
    <xf numFmtId="0" fontId="3" fillId="0" borderId="20" xfId="0" applyFont="1" applyBorder="1"/>
    <xf numFmtId="3" fontId="0" fillId="0" borderId="26" xfId="0" applyNumberFormat="1" applyBorder="1"/>
    <xf numFmtId="0" fontId="0" fillId="0" borderId="32" xfId="0" applyBorder="1"/>
    <xf numFmtId="3" fontId="16" fillId="14" borderId="17" xfId="0" applyNumberFormat="1" applyFont="1" applyFill="1" applyBorder="1" applyAlignment="1">
      <alignment horizontal="center"/>
    </xf>
    <xf numFmtId="0" fontId="4" fillId="14" borderId="0" xfId="0" applyFont="1" applyFill="1" applyAlignment="1">
      <alignment horizontal="center" vertical="top"/>
    </xf>
    <xf numFmtId="0" fontId="4" fillId="14" borderId="28" xfId="0" applyFont="1" applyFill="1" applyBorder="1" applyAlignment="1">
      <alignment horizontal="center" vertical="top"/>
    </xf>
    <xf numFmtId="0" fontId="4" fillId="0" borderId="28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18" fillId="7" borderId="11" xfId="0" applyFont="1" applyFill="1" applyBorder="1"/>
    <xf numFmtId="0" fontId="4" fillId="7" borderId="0" xfId="0" applyFont="1" applyFill="1" applyAlignment="1">
      <alignment horizontal="center" vertical="top"/>
    </xf>
    <xf numFmtId="0" fontId="4" fillId="7" borderId="28" xfId="0" applyFont="1" applyFill="1" applyBorder="1" applyAlignment="1">
      <alignment horizontal="center" vertical="top"/>
    </xf>
    <xf numFmtId="0" fontId="16" fillId="17" borderId="11" xfId="0" applyFont="1" applyFill="1" applyBorder="1"/>
    <xf numFmtId="0" fontId="4" fillId="17" borderId="0" xfId="0" applyFont="1" applyFill="1" applyAlignment="1">
      <alignment horizontal="center" vertical="top"/>
    </xf>
    <xf numFmtId="0" fontId="4" fillId="17" borderId="28" xfId="0" applyFont="1" applyFill="1" applyBorder="1" applyAlignment="1">
      <alignment horizontal="center" vertical="top"/>
    </xf>
    <xf numFmtId="0" fontId="16" fillId="16" borderId="11" xfId="0" applyFont="1" applyFill="1" applyBorder="1"/>
    <xf numFmtId="0" fontId="4" fillId="16" borderId="0" xfId="0" applyFont="1" applyFill="1" applyAlignment="1">
      <alignment horizontal="center" vertical="top"/>
    </xf>
    <xf numFmtId="0" fontId="4" fillId="19" borderId="11" xfId="0" applyFont="1" applyFill="1" applyBorder="1" applyAlignment="1">
      <alignment horizontal="center"/>
    </xf>
    <xf numFmtId="0" fontId="4" fillId="19" borderId="14" xfId="0" applyFont="1" applyFill="1" applyBorder="1" applyAlignment="1">
      <alignment horizont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5" fillId="0" borderId="11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5" fillId="0" borderId="26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0" fillId="0" borderId="40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9" fontId="0" fillId="0" borderId="37" xfId="1" applyFont="1" applyBorder="1" applyAlignment="1">
      <alignment horizontal="left" vertical="top"/>
    </xf>
    <xf numFmtId="0" fontId="0" fillId="0" borderId="37" xfId="0" applyBorder="1" applyAlignment="1">
      <alignment vertical="top"/>
    </xf>
    <xf numFmtId="9" fontId="0" fillId="0" borderId="39" xfId="1" applyFont="1" applyBorder="1" applyAlignment="1">
      <alignment horizontal="left" vertical="top"/>
    </xf>
    <xf numFmtId="0" fontId="25" fillId="7" borderId="0" xfId="0" applyFont="1" applyFill="1"/>
    <xf numFmtId="3" fontId="0" fillId="0" borderId="10" xfId="0" applyNumberFormat="1" applyBorder="1"/>
    <xf numFmtId="3" fontId="0" fillId="0" borderId="30" xfId="0" applyNumberFormat="1" applyBorder="1"/>
    <xf numFmtId="0" fontId="0" fillId="0" borderId="26" xfId="0" applyBorder="1"/>
    <xf numFmtId="0" fontId="26" fillId="0" borderId="0" xfId="0" applyFont="1" applyAlignment="1">
      <alignment horizontal="right"/>
    </xf>
    <xf numFmtId="0" fontId="0" fillId="0" borderId="10" xfId="0" applyBorder="1"/>
    <xf numFmtId="0" fontId="26" fillId="0" borderId="0" xfId="0" applyFont="1"/>
    <xf numFmtId="0" fontId="27" fillId="0" borderId="0" xfId="0" applyFont="1"/>
    <xf numFmtId="0" fontId="28" fillId="0" borderId="0" xfId="2"/>
    <xf numFmtId="0" fontId="29" fillId="0" borderId="0" xfId="0" applyFont="1"/>
    <xf numFmtId="3" fontId="29" fillId="7" borderId="10" xfId="0" applyNumberFormat="1" applyFont="1" applyFill="1" applyBorder="1"/>
    <xf numFmtId="0" fontId="30" fillId="7" borderId="12" xfId="0" applyFont="1" applyFill="1" applyBorder="1"/>
    <xf numFmtId="3" fontId="30" fillId="7" borderId="10" xfId="0" applyNumberFormat="1" applyFont="1" applyFill="1" applyBorder="1"/>
    <xf numFmtId="0" fontId="29" fillId="7" borderId="12" xfId="0" applyFont="1" applyFill="1" applyBorder="1"/>
    <xf numFmtId="3" fontId="30" fillId="7" borderId="12" xfId="0" applyNumberFormat="1" applyFont="1" applyFill="1" applyBorder="1"/>
    <xf numFmtId="4" fontId="30" fillId="7" borderId="12" xfId="0" applyNumberFormat="1" applyFont="1" applyFill="1" applyBorder="1"/>
    <xf numFmtId="4" fontId="30" fillId="7" borderId="10" xfId="0" applyNumberFormat="1" applyFont="1" applyFill="1" applyBorder="1"/>
    <xf numFmtId="3" fontId="30" fillId="7" borderId="41" xfId="0" applyNumberFormat="1" applyFont="1" applyFill="1" applyBorder="1"/>
    <xf numFmtId="4" fontId="30" fillId="7" borderId="40" xfId="0" applyNumberFormat="1" applyFont="1" applyFill="1" applyBorder="1"/>
    <xf numFmtId="3" fontId="22" fillId="0" borderId="25" xfId="0" applyNumberFormat="1" applyFont="1" applyBorder="1"/>
    <xf numFmtId="0" fontId="22" fillId="0" borderId="26" xfId="0" applyFont="1" applyBorder="1"/>
    <xf numFmtId="0" fontId="31" fillId="0" borderId="0" xfId="0" applyFont="1"/>
    <xf numFmtId="3" fontId="31" fillId="0" borderId="25" xfId="0" applyNumberFormat="1" applyFont="1" applyBorder="1"/>
    <xf numFmtId="0" fontId="31" fillId="0" borderId="24" xfId="0" applyFont="1" applyBorder="1"/>
    <xf numFmtId="4" fontId="31" fillId="0" borderId="37" xfId="0" applyNumberFormat="1" applyFont="1" applyBorder="1"/>
    <xf numFmtId="0" fontId="30" fillId="7" borderId="0" xfId="0" applyFont="1" applyFill="1"/>
    <xf numFmtId="3" fontId="0" fillId="7" borderId="25" xfId="0" applyNumberFormat="1" applyFill="1" applyBorder="1"/>
    <xf numFmtId="0" fontId="0" fillId="7" borderId="26" xfId="0" applyFill="1" applyBorder="1"/>
    <xf numFmtId="0" fontId="0" fillId="7" borderId="25" xfId="0" applyFill="1" applyBorder="1"/>
    <xf numFmtId="3" fontId="30" fillId="7" borderId="25" xfId="0" applyNumberFormat="1" applyFont="1" applyFill="1" applyBorder="1"/>
    <xf numFmtId="4" fontId="0" fillId="0" borderId="37" xfId="0" applyNumberFormat="1" applyBorder="1"/>
    <xf numFmtId="0" fontId="22" fillId="0" borderId="25" xfId="0" applyFont="1" applyBorder="1"/>
    <xf numFmtId="0" fontId="0" fillId="0" borderId="31" xfId="0" applyBorder="1"/>
    <xf numFmtId="4" fontId="0" fillId="0" borderId="38" xfId="0" applyNumberFormat="1" applyBorder="1"/>
    <xf numFmtId="0" fontId="22" fillId="0" borderId="0" xfId="0" applyFont="1" applyAlignment="1">
      <alignment horizontal="right"/>
    </xf>
    <xf numFmtId="3" fontId="22" fillId="0" borderId="13" xfId="0" applyNumberFormat="1" applyFont="1" applyBorder="1"/>
    <xf numFmtId="3" fontId="22" fillId="0" borderId="15" xfId="0" applyNumberFormat="1" applyFont="1" applyBorder="1"/>
    <xf numFmtId="3" fontId="22" fillId="0" borderId="32" xfId="0" applyNumberFormat="1" applyFont="1" applyBorder="1"/>
    <xf numFmtId="4" fontId="22" fillId="0" borderId="39" xfId="0" applyNumberFormat="1" applyFont="1" applyBorder="1"/>
    <xf numFmtId="4" fontId="0" fillId="0" borderId="0" xfId="0" applyNumberFormat="1"/>
    <xf numFmtId="4" fontId="0" fillId="0" borderId="13" xfId="0" applyNumberFormat="1" applyBorder="1"/>
    <xf numFmtId="4" fontId="0" fillId="0" borderId="25" xfId="0" applyNumberFormat="1" applyBorder="1"/>
    <xf numFmtId="4" fontId="0" fillId="0" borderId="30" xfId="0" applyNumberFormat="1" applyBorder="1"/>
    <xf numFmtId="4" fontId="30" fillId="7" borderId="16" xfId="0" applyNumberFormat="1" applyFont="1" applyFill="1" applyBorder="1" applyAlignment="1">
      <alignment horizontal="right"/>
    </xf>
    <xf numFmtId="4" fontId="30" fillId="7" borderId="36" xfId="0" applyNumberFormat="1" applyFont="1" applyFill="1" applyBorder="1" applyAlignment="1">
      <alignment horizontal="right"/>
    </xf>
    <xf numFmtId="4" fontId="30" fillId="7" borderId="19" xfId="0" applyNumberFormat="1" applyFont="1" applyFill="1" applyBorder="1" applyAlignment="1">
      <alignment horizontal="right"/>
    </xf>
    <xf numFmtId="4" fontId="0" fillId="0" borderId="24" xfId="0" applyNumberFormat="1" applyBorder="1"/>
    <xf numFmtId="4" fontId="0" fillId="0" borderId="29" xfId="0" applyNumberFormat="1" applyBorder="1"/>
    <xf numFmtId="4" fontId="0" fillId="0" borderId="14" xfId="0" applyNumberFormat="1" applyBorder="1"/>
    <xf numFmtId="4" fontId="0" fillId="0" borderId="39" xfId="0" applyNumberFormat="1" applyBorder="1"/>
    <xf numFmtId="4" fontId="0" fillId="7" borderId="37" xfId="0" applyNumberFormat="1" applyFill="1" applyBorder="1"/>
    <xf numFmtId="4" fontId="0" fillId="7" borderId="38" xfId="0" applyNumberFormat="1" applyFill="1" applyBorder="1"/>
    <xf numFmtId="0" fontId="0" fillId="20" borderId="0" xfId="0" applyFill="1"/>
    <xf numFmtId="3" fontId="0" fillId="0" borderId="12" xfId="0" applyNumberFormat="1" applyBorder="1"/>
    <xf numFmtId="0" fontId="0" fillId="0" borderId="11" xfId="0" applyBorder="1" applyAlignment="1">
      <alignment horizontal="right"/>
    </xf>
    <xf numFmtId="0" fontId="0" fillId="0" borderId="14" xfId="0" applyBorder="1" applyAlignment="1">
      <alignment horizontal="right"/>
    </xf>
    <xf numFmtId="0" fontId="32" fillId="0" borderId="25" xfId="0" applyFont="1" applyBorder="1"/>
    <xf numFmtId="0" fontId="32" fillId="0" borderId="0" xfId="0" applyFont="1"/>
    <xf numFmtId="0" fontId="23" fillId="0" borderId="0" xfId="0" applyFont="1"/>
    <xf numFmtId="3" fontId="26" fillId="0" borderId="0" xfId="0" applyNumberFormat="1" applyFont="1"/>
    <xf numFmtId="3" fontId="0" fillId="0" borderId="0" xfId="0" applyNumberFormat="1" applyAlignment="1">
      <alignment horizontal="right"/>
    </xf>
    <xf numFmtId="0" fontId="0" fillId="21" borderId="10" xfId="0" applyFill="1" applyBorder="1"/>
    <xf numFmtId="0" fontId="0" fillId="21" borderId="11" xfId="0" applyFill="1" applyBorder="1" applyAlignment="1">
      <alignment horizontal="right"/>
    </xf>
    <xf numFmtId="3" fontId="0" fillId="21" borderId="11" xfId="0" applyNumberFormat="1" applyFill="1" applyBorder="1" applyAlignment="1">
      <alignment horizontal="right"/>
    </xf>
    <xf numFmtId="0" fontId="26" fillId="0" borderId="11" xfId="0" applyFont="1" applyBorder="1"/>
    <xf numFmtId="0" fontId="26" fillId="0" borderId="12" xfId="0" applyFont="1" applyBorder="1"/>
    <xf numFmtId="0" fontId="26" fillId="0" borderId="25" xfId="0" applyFont="1" applyBorder="1"/>
    <xf numFmtId="3" fontId="0" fillId="0" borderId="14" xfId="0" applyNumberFormat="1" applyBorder="1" applyAlignment="1">
      <alignment horizontal="right"/>
    </xf>
    <xf numFmtId="0" fontId="26" fillId="0" borderId="10" xfId="0" applyFont="1" applyBorder="1"/>
    <xf numFmtId="3" fontId="0" fillId="0" borderId="11" xfId="0" applyNumberFormat="1" applyBorder="1" applyAlignment="1">
      <alignment horizontal="right"/>
    </xf>
    <xf numFmtId="0" fontId="0" fillId="21" borderId="11" xfId="0" applyFill="1" applyBorder="1"/>
    <xf numFmtId="0" fontId="26" fillId="21" borderId="11" xfId="0" applyFont="1" applyFill="1" applyBorder="1"/>
    <xf numFmtId="0" fontId="26" fillId="21" borderId="12" xfId="0" applyFont="1" applyFill="1" applyBorder="1"/>
    <xf numFmtId="0" fontId="26" fillId="21" borderId="10" xfId="0" applyFont="1" applyFill="1" applyBorder="1"/>
    <xf numFmtId="3" fontId="0" fillId="21" borderId="11" xfId="0" applyNumberFormat="1" applyFill="1" applyBorder="1"/>
    <xf numFmtId="3" fontId="0" fillId="21" borderId="12" xfId="0" applyNumberFormat="1" applyFill="1" applyBorder="1"/>
    <xf numFmtId="0" fontId="26" fillId="21" borderId="41" xfId="0" applyFont="1" applyFill="1" applyBorder="1"/>
    <xf numFmtId="3" fontId="0" fillId="0" borderId="41" xfId="0" applyNumberFormat="1" applyBorder="1"/>
    <xf numFmtId="3" fontId="0" fillId="21" borderId="41" xfId="0" applyNumberFormat="1" applyFill="1" applyBorder="1"/>
    <xf numFmtId="0" fontId="34" fillId="21" borderId="10" xfId="0" applyFont="1" applyFill="1" applyBorder="1"/>
    <xf numFmtId="0" fontId="26" fillId="0" borderId="41" xfId="0" applyFont="1" applyBorder="1"/>
    <xf numFmtId="3" fontId="26" fillId="0" borderId="25" xfId="0" applyNumberFormat="1" applyFont="1" applyBorder="1"/>
    <xf numFmtId="0" fontId="4" fillId="0" borderId="44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3" fontId="0" fillId="0" borderId="45" xfId="0" applyNumberFormat="1" applyBorder="1"/>
    <xf numFmtId="3" fontId="0" fillId="0" borderId="46" xfId="0" applyNumberFormat="1" applyBorder="1"/>
    <xf numFmtId="0" fontId="33" fillId="0" borderId="0" xfId="0" applyFont="1"/>
    <xf numFmtId="3" fontId="24" fillId="7" borderId="24" xfId="0" applyNumberFormat="1" applyFont="1" applyFill="1" applyBorder="1"/>
    <xf numFmtId="3" fontId="0" fillId="0" borderId="1" xfId="0" applyNumberFormat="1" applyBorder="1" applyAlignment="1">
      <alignment vertical="top"/>
    </xf>
    <xf numFmtId="3" fontId="36" fillId="0" borderId="14" xfId="0" applyNumberFormat="1" applyFont="1" applyBorder="1"/>
    <xf numFmtId="0" fontId="26" fillId="0" borderId="42" xfId="0" applyFont="1" applyBorder="1"/>
    <xf numFmtId="0" fontId="37" fillId="0" borderId="19" xfId="0" applyFont="1" applyBorder="1" applyAlignment="1">
      <alignment horizontal="right"/>
    </xf>
    <xf numFmtId="0" fontId="37" fillId="0" borderId="36" xfId="0" applyFont="1" applyBorder="1" applyAlignment="1">
      <alignment horizontal="right"/>
    </xf>
    <xf numFmtId="0" fontId="26" fillId="0" borderId="30" xfId="0" applyFont="1" applyBorder="1"/>
    <xf numFmtId="3" fontId="24" fillId="0" borderId="48" xfId="0" applyNumberFormat="1" applyFont="1" applyBorder="1"/>
    <xf numFmtId="3" fontId="0" fillId="0" borderId="24" xfId="1" applyNumberFormat="1" applyFont="1" applyFill="1" applyBorder="1"/>
    <xf numFmtId="0" fontId="26" fillId="0" borderId="14" xfId="0" applyFont="1" applyBorder="1" applyAlignment="1">
      <alignment horizontal="right"/>
    </xf>
    <xf numFmtId="0" fontId="4" fillId="0" borderId="42" xfId="0" applyFont="1" applyBorder="1" applyAlignment="1">
      <alignment horizontal="left" vertical="top"/>
    </xf>
    <xf numFmtId="0" fontId="0" fillId="0" borderId="50" xfId="0" applyBorder="1"/>
    <xf numFmtId="3" fontId="0" fillId="0" borderId="50" xfId="0" applyNumberFormat="1" applyBorder="1"/>
    <xf numFmtId="3" fontId="0" fillId="0" borderId="43" xfId="0" applyNumberFormat="1" applyBorder="1"/>
    <xf numFmtId="3" fontId="0" fillId="0" borderId="51" xfId="0" applyNumberFormat="1" applyBorder="1"/>
    <xf numFmtId="0" fontId="4" fillId="0" borderId="52" xfId="0" applyFont="1" applyBorder="1" applyAlignment="1">
      <alignment horizontal="left" vertical="top"/>
    </xf>
    <xf numFmtId="3" fontId="0" fillId="16" borderId="0" xfId="0" applyNumberFormat="1" applyFill="1"/>
    <xf numFmtId="0" fontId="0" fillId="16" borderId="0" xfId="0" applyFill="1"/>
    <xf numFmtId="0" fontId="0" fillId="7" borderId="0" xfId="0" applyFill="1"/>
    <xf numFmtId="3" fontId="26" fillId="0" borderId="0" xfId="0" applyNumberFormat="1" applyFont="1" applyAlignment="1">
      <alignment horizontal="right"/>
    </xf>
    <xf numFmtId="3" fontId="0" fillId="20" borderId="24" xfId="0" applyNumberFormat="1" applyFill="1" applyBorder="1"/>
    <xf numFmtId="3" fontId="0" fillId="20" borderId="29" xfId="0" applyNumberFormat="1" applyFill="1" applyBorder="1"/>
    <xf numFmtId="9" fontId="27" fillId="20" borderId="47" xfId="1" applyFont="1" applyFill="1" applyBorder="1"/>
    <xf numFmtId="0" fontId="38" fillId="20" borderId="0" xfId="0" quotePrefix="1" applyFont="1" applyFill="1"/>
    <xf numFmtId="0" fontId="27" fillId="20" borderId="43" xfId="0" applyFont="1" applyFill="1" applyBorder="1"/>
    <xf numFmtId="0" fontId="27" fillId="20" borderId="42" xfId="0" applyFont="1" applyFill="1" applyBorder="1" applyAlignment="1">
      <alignment horizontal="right"/>
    </xf>
    <xf numFmtId="167" fontId="27" fillId="20" borderId="43" xfId="1" applyNumberFormat="1" applyFont="1" applyFill="1" applyBorder="1" applyAlignment="1">
      <alignment horizontal="right"/>
    </xf>
    <xf numFmtId="0" fontId="26" fillId="0" borderId="42" xfId="0" applyFont="1" applyBorder="1" applyAlignment="1">
      <alignment horizontal="left"/>
    </xf>
    <xf numFmtId="0" fontId="35" fillId="0" borderId="42" xfId="0" applyFont="1" applyBorder="1" applyAlignment="1">
      <alignment horizontal="left"/>
    </xf>
    <xf numFmtId="0" fontId="26" fillId="0" borderId="49" xfId="0" applyFont="1" applyBorder="1" applyAlignment="1">
      <alignment horizontal="left"/>
    </xf>
    <xf numFmtId="3" fontId="0" fillId="22" borderId="0" xfId="0" applyNumberFormat="1" applyFill="1"/>
    <xf numFmtId="3" fontId="0" fillId="23" borderId="0" xfId="0" applyNumberFormat="1" applyFill="1"/>
    <xf numFmtId="3" fontId="36" fillId="23" borderId="14" xfId="0" applyNumberFormat="1" applyFont="1" applyFill="1" applyBorder="1"/>
    <xf numFmtId="0" fontId="5" fillId="9" borderId="13" xfId="0" applyFont="1" applyFill="1" applyBorder="1" applyAlignment="1">
      <alignment horizontal="left" vertical="top"/>
    </xf>
    <xf numFmtId="0" fontId="5" fillId="9" borderId="14" xfId="0" applyFont="1" applyFill="1" applyBorder="1" applyAlignment="1">
      <alignment horizontal="left" vertical="top"/>
    </xf>
    <xf numFmtId="0" fontId="5" fillId="9" borderId="15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6" fillId="12" borderId="1" xfId="0" applyFont="1" applyFill="1" applyBorder="1" applyAlignment="1">
      <alignment vertical="top"/>
    </xf>
    <xf numFmtId="0" fontId="0" fillId="13" borderId="1" xfId="0" applyFill="1" applyBorder="1" applyAlignment="1">
      <alignment vertical="top"/>
    </xf>
    <xf numFmtId="0" fontId="8" fillId="7" borderId="1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11" borderId="1" xfId="0" applyFont="1" applyFill="1" applyBorder="1" applyAlignment="1">
      <alignment horizontal="center" vertical="top"/>
    </xf>
    <xf numFmtId="0" fontId="6" fillId="11" borderId="2" xfId="0" applyFont="1" applyFill="1" applyBorder="1" applyAlignment="1">
      <alignment horizontal="center" vertical="top"/>
    </xf>
    <xf numFmtId="0" fontId="6" fillId="11" borderId="3" xfId="0" applyFont="1" applyFill="1" applyBorder="1" applyAlignment="1">
      <alignment horizontal="center" vertical="top"/>
    </xf>
    <xf numFmtId="0" fontId="6" fillId="11" borderId="4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5" fillId="3" borderId="26" xfId="0" applyFont="1" applyFill="1" applyBorder="1" applyAlignment="1">
      <alignment horizontal="left" vertical="top"/>
    </xf>
    <xf numFmtId="0" fontId="5" fillId="4" borderId="25" xfId="0" applyFont="1" applyFill="1" applyBorder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5" fillId="4" borderId="26" xfId="0" applyFont="1" applyFill="1" applyBorder="1" applyAlignment="1">
      <alignment horizontal="left" vertical="top"/>
    </xf>
    <xf numFmtId="0" fontId="5" fillId="5" borderId="25" xfId="0" applyFont="1" applyFill="1" applyBorder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5" fillId="5" borderId="26" xfId="0" applyFont="1" applyFill="1" applyBorder="1" applyAlignment="1">
      <alignment horizontal="left" vertical="top"/>
    </xf>
    <xf numFmtId="0" fontId="5" fillId="6" borderId="25" xfId="0" applyFont="1" applyFill="1" applyBorder="1" applyAlignment="1">
      <alignment horizontal="left" vertical="top"/>
    </xf>
    <xf numFmtId="0" fontId="5" fillId="6" borderId="0" xfId="0" applyFont="1" applyFill="1" applyAlignment="1">
      <alignment horizontal="left" vertical="top"/>
    </xf>
    <xf numFmtId="0" fontId="5" fillId="6" borderId="26" xfId="0" applyFont="1" applyFill="1" applyBorder="1" applyAlignment="1">
      <alignment horizontal="left" vertical="top"/>
    </xf>
    <xf numFmtId="0" fontId="5" fillId="8" borderId="25" xfId="0" applyFont="1" applyFill="1" applyBorder="1" applyAlignment="1">
      <alignment horizontal="left" vertical="top"/>
    </xf>
    <xf numFmtId="0" fontId="5" fillId="8" borderId="0" xfId="0" applyFont="1" applyFill="1" applyAlignment="1">
      <alignment horizontal="left" vertical="top"/>
    </xf>
    <xf numFmtId="0" fontId="5" fillId="8" borderId="26" xfId="0" applyFont="1" applyFill="1" applyBorder="1" applyAlignment="1">
      <alignment horizontal="left" vertical="top"/>
    </xf>
    <xf numFmtId="0" fontId="0" fillId="15" borderId="1" xfId="0" applyFill="1" applyBorder="1" applyAlignment="1">
      <alignment vertical="top"/>
    </xf>
    <xf numFmtId="0" fontId="0" fillId="15" borderId="1" xfId="0" applyFill="1" applyBorder="1" applyAlignment="1">
      <alignment vertical="top" wrapText="1"/>
    </xf>
    <xf numFmtId="0" fontId="4" fillId="18" borderId="5" xfId="0" applyFont="1" applyFill="1" applyBorder="1" applyAlignment="1">
      <alignment horizontal="left" vertical="top" wrapText="1"/>
    </xf>
    <xf numFmtId="0" fontId="0" fillId="18" borderId="6" xfId="0" applyFill="1" applyBorder="1" applyAlignment="1">
      <alignment horizontal="left" vertical="top" wrapText="1"/>
    </xf>
    <xf numFmtId="0" fontId="0" fillId="18" borderId="7" xfId="0" applyFill="1" applyBorder="1" applyAlignment="1">
      <alignment horizontal="left" vertical="top" wrapText="1"/>
    </xf>
    <xf numFmtId="0" fontId="0" fillId="15" borderId="8" xfId="0" applyFill="1" applyBorder="1" applyAlignment="1">
      <alignment horizontal="left" vertical="top" wrapText="1"/>
    </xf>
    <xf numFmtId="0" fontId="0" fillId="15" borderId="7" xfId="0" applyFill="1" applyBorder="1" applyAlignment="1">
      <alignment horizontal="left" vertical="top" wrapText="1"/>
    </xf>
    <xf numFmtId="0" fontId="0" fillId="18" borderId="5" xfId="0" applyFill="1" applyBorder="1" applyAlignment="1">
      <alignment horizontal="left" vertical="top" wrapText="1"/>
    </xf>
    <xf numFmtId="0" fontId="0" fillId="10" borderId="1" xfId="0" applyFill="1" applyBorder="1" applyAlignment="1">
      <alignment vertical="top" wrapText="1"/>
    </xf>
    <xf numFmtId="0" fontId="0" fillId="10" borderId="1" xfId="0" applyFill="1" applyBorder="1" applyAlignment="1">
      <alignment vertical="top"/>
    </xf>
    <xf numFmtId="0" fontId="10" fillId="10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/>
    </xf>
    <xf numFmtId="0" fontId="4" fillId="15" borderId="1" xfId="0" applyFont="1" applyFill="1" applyBorder="1" applyAlignment="1">
      <alignment vertical="top" wrapText="1"/>
    </xf>
    <xf numFmtId="0" fontId="12" fillId="0" borderId="0" xfId="0" applyFont="1" applyAlignment="1">
      <alignment horizontal="right" vertical="top"/>
    </xf>
  </cellXfs>
  <cellStyles count="3">
    <cellStyle name="Hyperlink" xfId="2" builtinId="8"/>
    <cellStyle name="Procent" xfId="1" builtinId="5"/>
    <cellStyle name="Standaard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15</xdr:col>
      <xdr:colOff>543256</xdr:colOff>
      <xdr:row>9</xdr:row>
      <xdr:rowOff>4430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4388D7A-D458-A72F-54EB-12F7FAA85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6675" y="438150"/>
          <a:ext cx="2372056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bs.nl/nl-nl/cijfers/detail/83887N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4582-E932-4483-8DEA-DAF463C6D9E7}">
  <dimension ref="A1:AB71"/>
  <sheetViews>
    <sheetView workbookViewId="0">
      <pane ySplit="4" topLeftCell="A5" activePane="bottomLeft" state="frozen"/>
      <selection activeCell="L3" sqref="L3"/>
      <selection pane="bottomLeft" activeCell="A4" sqref="A4:XFD57"/>
    </sheetView>
  </sheetViews>
  <sheetFormatPr defaultRowHeight="15" x14ac:dyDescent="0.25"/>
  <cols>
    <col min="1" max="1" width="34.42578125" customWidth="1"/>
    <col min="2" max="2" width="7.140625" customWidth="1"/>
    <col min="5" max="5" width="7.28515625" customWidth="1"/>
    <col min="7" max="7" width="9.140625" style="66"/>
    <col min="11" max="11" width="8.5703125" customWidth="1"/>
    <col min="12" max="12" width="8.7109375" customWidth="1"/>
    <col min="26" max="26" width="8.5703125" customWidth="1"/>
  </cols>
  <sheetData>
    <row r="1" spans="1:28" ht="24" thickBot="1" x14ac:dyDescent="0.4">
      <c r="A1" s="281" t="s">
        <v>354</v>
      </c>
      <c r="F1" s="313" t="s">
        <v>360</v>
      </c>
      <c r="G1" s="334">
        <v>2025</v>
      </c>
      <c r="I1" s="337" t="s">
        <v>366</v>
      </c>
      <c r="J1" s="337"/>
      <c r="K1" s="337"/>
      <c r="L1" s="335">
        <v>2022</v>
      </c>
      <c r="N1" s="231" t="s">
        <v>197</v>
      </c>
    </row>
    <row r="2" spans="1:28" ht="19.5" thickBot="1" x14ac:dyDescent="0.35">
      <c r="A2" s="333" t="s">
        <v>379</v>
      </c>
      <c r="B2" s="275"/>
      <c r="C2" s="96"/>
      <c r="D2" s="96"/>
      <c r="E2" s="96"/>
      <c r="I2" s="338" t="s">
        <v>365</v>
      </c>
      <c r="J2" s="337"/>
      <c r="K2" s="339"/>
      <c r="L2" s="336">
        <v>9.6000000000000002E-2</v>
      </c>
      <c r="N2" t="s">
        <v>380</v>
      </c>
    </row>
    <row r="3" spans="1:28" x14ac:dyDescent="0.25">
      <c r="B3" s="96"/>
      <c r="C3" s="96"/>
      <c r="D3" s="96"/>
      <c r="E3" s="96"/>
      <c r="F3" s="96"/>
      <c r="G3" s="283"/>
      <c r="H3">
        <v>1</v>
      </c>
      <c r="I3">
        <f>+H3+1</f>
        <v>2</v>
      </c>
      <c r="J3">
        <f t="shared" ref="J3:AA3" si="0">+I3+1</f>
        <v>3</v>
      </c>
      <c r="K3">
        <f t="shared" si="0"/>
        <v>4</v>
      </c>
      <c r="L3">
        <f t="shared" si="0"/>
        <v>5</v>
      </c>
      <c r="M3">
        <f t="shared" si="0"/>
        <v>6</v>
      </c>
      <c r="N3">
        <f t="shared" si="0"/>
        <v>7</v>
      </c>
      <c r="O3">
        <f t="shared" si="0"/>
        <v>8</v>
      </c>
      <c r="P3">
        <f t="shared" si="0"/>
        <v>9</v>
      </c>
      <c r="Q3">
        <f t="shared" si="0"/>
        <v>10</v>
      </c>
      <c r="R3">
        <f t="shared" si="0"/>
        <v>11</v>
      </c>
      <c r="S3">
        <f t="shared" si="0"/>
        <v>12</v>
      </c>
      <c r="T3">
        <f t="shared" si="0"/>
        <v>13</v>
      </c>
      <c r="U3">
        <f t="shared" si="0"/>
        <v>14</v>
      </c>
      <c r="V3">
        <f t="shared" si="0"/>
        <v>15</v>
      </c>
      <c r="W3">
        <f t="shared" si="0"/>
        <v>16</v>
      </c>
      <c r="X3">
        <f t="shared" si="0"/>
        <v>17</v>
      </c>
      <c r="Y3">
        <f t="shared" si="0"/>
        <v>18</v>
      </c>
      <c r="Z3">
        <f t="shared" si="0"/>
        <v>19</v>
      </c>
      <c r="AA3">
        <f t="shared" si="0"/>
        <v>20</v>
      </c>
    </row>
    <row r="4" spans="1:28" ht="15.75" thickBot="1" x14ac:dyDescent="0.3">
      <c r="B4" s="227" t="s">
        <v>30</v>
      </c>
      <c r="C4" s="227" t="s">
        <v>309</v>
      </c>
      <c r="D4" s="227" t="s">
        <v>310</v>
      </c>
      <c r="E4" s="227" t="s">
        <v>361</v>
      </c>
      <c r="F4" s="227" t="s">
        <v>206</v>
      </c>
      <c r="G4" s="227" t="s">
        <v>163</v>
      </c>
      <c r="H4" s="229">
        <f>+G1</f>
        <v>2025</v>
      </c>
      <c r="I4" s="229">
        <f>+H4+1</f>
        <v>2026</v>
      </c>
      <c r="J4" s="229">
        <f t="shared" ref="J4:AA4" si="1">+I4+1</f>
        <v>2027</v>
      </c>
      <c r="K4" s="229">
        <f t="shared" si="1"/>
        <v>2028</v>
      </c>
      <c r="L4" s="229">
        <f t="shared" si="1"/>
        <v>2029</v>
      </c>
      <c r="M4" s="229">
        <f t="shared" si="1"/>
        <v>2030</v>
      </c>
      <c r="N4" s="229">
        <f t="shared" si="1"/>
        <v>2031</v>
      </c>
      <c r="O4" s="229">
        <f t="shared" si="1"/>
        <v>2032</v>
      </c>
      <c r="P4" s="229">
        <f t="shared" si="1"/>
        <v>2033</v>
      </c>
      <c r="Q4" s="229">
        <f t="shared" si="1"/>
        <v>2034</v>
      </c>
      <c r="R4" s="229">
        <f t="shared" si="1"/>
        <v>2035</v>
      </c>
      <c r="S4" s="229">
        <f t="shared" si="1"/>
        <v>2036</v>
      </c>
      <c r="T4" s="229">
        <f t="shared" si="1"/>
        <v>2037</v>
      </c>
      <c r="U4" s="229">
        <f t="shared" si="1"/>
        <v>2038</v>
      </c>
      <c r="V4" s="229">
        <f>+U4+1</f>
        <v>2039</v>
      </c>
      <c r="W4" s="229">
        <f t="shared" si="1"/>
        <v>2040</v>
      </c>
      <c r="X4" s="229">
        <f t="shared" si="1"/>
        <v>2041</v>
      </c>
      <c r="Y4" s="229">
        <f t="shared" si="1"/>
        <v>2042</v>
      </c>
      <c r="Z4" s="229">
        <f t="shared" si="1"/>
        <v>2043</v>
      </c>
      <c r="AA4" s="229">
        <f t="shared" si="1"/>
        <v>2044</v>
      </c>
    </row>
    <row r="5" spans="1:28" ht="15.75" thickBot="1" x14ac:dyDescent="0.3">
      <c r="A5" s="284" t="s">
        <v>161</v>
      </c>
      <c r="B5" s="285"/>
      <c r="C5" s="285"/>
      <c r="D5" s="285"/>
      <c r="E5" s="285"/>
      <c r="F5" s="285"/>
      <c r="G5" s="285"/>
      <c r="H5" s="299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5"/>
    </row>
    <row r="6" spans="1:28" x14ac:dyDescent="0.25">
      <c r="A6" s="291" t="s">
        <v>355</v>
      </c>
      <c r="B6" s="277"/>
      <c r="C6" s="277"/>
      <c r="D6" s="277"/>
      <c r="E6" s="277"/>
      <c r="F6" s="277"/>
      <c r="G6" s="292"/>
      <c r="H6" s="303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87"/>
      <c r="X6" s="287"/>
      <c r="Y6" s="287"/>
      <c r="Z6" s="287"/>
      <c r="AA6" s="288"/>
    </row>
    <row r="7" spans="1:28" x14ac:dyDescent="0.25">
      <c r="A7" s="134" t="s">
        <v>330</v>
      </c>
      <c r="B7" s="96" t="s">
        <v>334</v>
      </c>
      <c r="C7" s="96">
        <v>25</v>
      </c>
      <c r="D7" s="96">
        <v>2042</v>
      </c>
      <c r="E7" s="96" t="str">
        <f>IF((D7+C7)&lt;($AA$4+1),"Ja","-")</f>
        <v>-</v>
      </c>
      <c r="F7" s="283">
        <v>62960</v>
      </c>
      <c r="G7" s="311">
        <f>+F7*(1+$L$2)</f>
        <v>69004.160000000003</v>
      </c>
      <c r="H7" s="100">
        <f>IF(+H4=$D7,+$G7,0)</f>
        <v>0</v>
      </c>
      <c r="I7" s="66">
        <f t="shared" ref="I7:AA7" si="2">IF(+I4=$D7,+$G7,0)</f>
        <v>0</v>
      </c>
      <c r="J7" s="66">
        <f t="shared" si="2"/>
        <v>0</v>
      </c>
      <c r="K7" s="66">
        <f t="shared" si="2"/>
        <v>0</v>
      </c>
      <c r="L7" s="66">
        <f t="shared" si="2"/>
        <v>0</v>
      </c>
      <c r="M7" s="66">
        <f t="shared" si="2"/>
        <v>0</v>
      </c>
      <c r="N7" s="66">
        <f t="shared" si="2"/>
        <v>0</v>
      </c>
      <c r="O7" s="66">
        <f t="shared" si="2"/>
        <v>0</v>
      </c>
      <c r="P7" s="66">
        <f t="shared" si="2"/>
        <v>0</v>
      </c>
      <c r="Q7" s="66">
        <f t="shared" si="2"/>
        <v>0</v>
      </c>
      <c r="R7" s="66">
        <f t="shared" si="2"/>
        <v>0</v>
      </c>
      <c r="S7" s="66">
        <f t="shared" si="2"/>
        <v>0</v>
      </c>
      <c r="T7" s="66">
        <f t="shared" si="2"/>
        <v>0</v>
      </c>
      <c r="U7" s="66">
        <f t="shared" si="2"/>
        <v>0</v>
      </c>
      <c r="V7" s="66">
        <f t="shared" si="2"/>
        <v>0</v>
      </c>
      <c r="W7" s="66">
        <f t="shared" si="2"/>
        <v>0</v>
      </c>
      <c r="X7" s="66">
        <f t="shared" si="2"/>
        <v>0</v>
      </c>
      <c r="Y7" s="66">
        <f t="shared" si="2"/>
        <v>69004.160000000003</v>
      </c>
      <c r="Z7" s="66">
        <f t="shared" si="2"/>
        <v>0</v>
      </c>
      <c r="AA7" s="189">
        <f t="shared" si="2"/>
        <v>0</v>
      </c>
      <c r="AB7" s="66"/>
    </row>
    <row r="8" spans="1:28" x14ac:dyDescent="0.25">
      <c r="A8" s="134" t="s">
        <v>329</v>
      </c>
      <c r="B8" s="96" t="s">
        <v>334</v>
      </c>
      <c r="C8" s="96">
        <v>50</v>
      </c>
      <c r="D8" s="96">
        <v>2067</v>
      </c>
      <c r="E8" s="96" t="str">
        <f t="shared" ref="E8:E17" si="3">IF((D8+C8)&lt;($AA$4+1),"Ja","-")</f>
        <v>-</v>
      </c>
      <c r="F8" s="283">
        <v>93368</v>
      </c>
      <c r="G8" s="283">
        <f>+F8*(1+$L$2)</f>
        <v>102331.32800000001</v>
      </c>
      <c r="H8" s="100">
        <f>IF(+H$4=$D8,+$G8,0)</f>
        <v>0</v>
      </c>
      <c r="I8" s="66">
        <f t="shared" ref="I8:AA11" si="4">IF(+I$4=$D8,+$G8,0)</f>
        <v>0</v>
      </c>
      <c r="J8" s="66">
        <f t="shared" si="4"/>
        <v>0</v>
      </c>
      <c r="K8" s="66">
        <f t="shared" si="4"/>
        <v>0</v>
      </c>
      <c r="L8" s="66">
        <f t="shared" si="4"/>
        <v>0</v>
      </c>
      <c r="M8" s="66">
        <f t="shared" si="4"/>
        <v>0</v>
      </c>
      <c r="N8" s="66">
        <f t="shared" si="4"/>
        <v>0</v>
      </c>
      <c r="O8" s="66">
        <f t="shared" si="4"/>
        <v>0</v>
      </c>
      <c r="P8" s="66">
        <f t="shared" si="4"/>
        <v>0</v>
      </c>
      <c r="Q8" s="66">
        <f t="shared" si="4"/>
        <v>0</v>
      </c>
      <c r="R8" s="66">
        <f t="shared" si="4"/>
        <v>0</v>
      </c>
      <c r="S8" s="66">
        <f t="shared" si="4"/>
        <v>0</v>
      </c>
      <c r="T8" s="66">
        <f t="shared" si="4"/>
        <v>0</v>
      </c>
      <c r="U8" s="66">
        <f t="shared" si="4"/>
        <v>0</v>
      </c>
      <c r="V8" s="66">
        <f t="shared" si="4"/>
        <v>0</v>
      </c>
      <c r="W8" s="66">
        <f t="shared" si="4"/>
        <v>0</v>
      </c>
      <c r="X8" s="66">
        <f t="shared" si="4"/>
        <v>0</v>
      </c>
      <c r="Y8" s="66">
        <f t="shared" si="4"/>
        <v>0</v>
      </c>
      <c r="Z8" s="66">
        <f t="shared" si="4"/>
        <v>0</v>
      </c>
      <c r="AA8" s="189">
        <f t="shared" si="4"/>
        <v>0</v>
      </c>
      <c r="AB8" s="66"/>
    </row>
    <row r="9" spans="1:28" x14ac:dyDescent="0.25">
      <c r="A9" s="134" t="s">
        <v>333</v>
      </c>
      <c r="B9" s="96" t="s">
        <v>332</v>
      </c>
      <c r="C9" s="96">
        <v>25</v>
      </c>
      <c r="D9" s="96">
        <v>2042</v>
      </c>
      <c r="E9" s="96" t="str">
        <f t="shared" si="3"/>
        <v>-</v>
      </c>
      <c r="F9" s="283">
        <v>25738</v>
      </c>
      <c r="G9" s="283">
        <f>+F9*(1+$L$2)</f>
        <v>28208.848000000002</v>
      </c>
      <c r="H9" s="100">
        <f t="shared" ref="H9:W17" si="5">IF(+H$4=$D9,+$G9,0)</f>
        <v>0</v>
      </c>
      <c r="I9" s="66">
        <f t="shared" si="5"/>
        <v>0</v>
      </c>
      <c r="J9" s="66">
        <f t="shared" si="5"/>
        <v>0</v>
      </c>
      <c r="K9" s="66">
        <f t="shared" si="5"/>
        <v>0</v>
      </c>
      <c r="L9" s="66">
        <f t="shared" si="5"/>
        <v>0</v>
      </c>
      <c r="M9" s="66">
        <f t="shared" si="5"/>
        <v>0</v>
      </c>
      <c r="N9" s="66">
        <f t="shared" si="5"/>
        <v>0</v>
      </c>
      <c r="O9" s="66">
        <f t="shared" si="5"/>
        <v>0</v>
      </c>
      <c r="P9" s="66">
        <f t="shared" si="5"/>
        <v>0</v>
      </c>
      <c r="Q9" s="66">
        <f t="shared" si="5"/>
        <v>0</v>
      </c>
      <c r="R9" s="66">
        <f t="shared" si="5"/>
        <v>0</v>
      </c>
      <c r="S9" s="66">
        <f t="shared" si="5"/>
        <v>0</v>
      </c>
      <c r="T9" s="66">
        <f t="shared" si="5"/>
        <v>0</v>
      </c>
      <c r="U9" s="66">
        <f t="shared" si="5"/>
        <v>0</v>
      </c>
      <c r="V9" s="66">
        <f t="shared" si="5"/>
        <v>0</v>
      </c>
      <c r="W9" s="66">
        <f t="shared" si="5"/>
        <v>0</v>
      </c>
      <c r="X9" s="66">
        <f t="shared" si="4"/>
        <v>0</v>
      </c>
      <c r="Y9" s="66">
        <f t="shared" si="4"/>
        <v>28208.848000000002</v>
      </c>
      <c r="Z9" s="66">
        <f t="shared" si="4"/>
        <v>0</v>
      </c>
      <c r="AA9" s="189">
        <f t="shared" si="4"/>
        <v>0</v>
      </c>
      <c r="AB9" s="66"/>
    </row>
    <row r="10" spans="1:28" x14ac:dyDescent="0.25">
      <c r="A10" s="134" t="s">
        <v>337</v>
      </c>
      <c r="B10" s="96" t="s">
        <v>332</v>
      </c>
      <c r="C10" s="96">
        <v>50</v>
      </c>
      <c r="D10" s="96">
        <v>2067</v>
      </c>
      <c r="E10" s="96" t="str">
        <f t="shared" si="3"/>
        <v>-</v>
      </c>
      <c r="F10" s="283">
        <v>54095</v>
      </c>
      <c r="G10" s="283">
        <f>+F10*(1+$L$2)</f>
        <v>59288.12</v>
      </c>
      <c r="H10" s="100">
        <f t="shared" si="5"/>
        <v>0</v>
      </c>
      <c r="I10" s="66">
        <f t="shared" si="4"/>
        <v>0</v>
      </c>
      <c r="J10" s="66">
        <f t="shared" si="4"/>
        <v>0</v>
      </c>
      <c r="K10" s="66">
        <f t="shared" si="4"/>
        <v>0</v>
      </c>
      <c r="L10" s="66">
        <f t="shared" si="4"/>
        <v>0</v>
      </c>
      <c r="M10" s="66">
        <f t="shared" si="4"/>
        <v>0</v>
      </c>
      <c r="N10" s="66">
        <f t="shared" si="4"/>
        <v>0</v>
      </c>
      <c r="O10" s="66">
        <f t="shared" si="4"/>
        <v>0</v>
      </c>
      <c r="P10" s="66">
        <f t="shared" si="4"/>
        <v>0</v>
      </c>
      <c r="Q10" s="66">
        <f t="shared" si="4"/>
        <v>0</v>
      </c>
      <c r="R10" s="66">
        <f t="shared" si="4"/>
        <v>0</v>
      </c>
      <c r="S10" s="66">
        <f t="shared" si="4"/>
        <v>0</v>
      </c>
      <c r="T10" s="66">
        <f t="shared" si="4"/>
        <v>0</v>
      </c>
      <c r="U10" s="66">
        <f t="shared" si="4"/>
        <v>0</v>
      </c>
      <c r="V10" s="66">
        <f t="shared" si="4"/>
        <v>0</v>
      </c>
      <c r="W10" s="66">
        <f t="shared" si="4"/>
        <v>0</v>
      </c>
      <c r="X10" s="66">
        <f t="shared" si="4"/>
        <v>0</v>
      </c>
      <c r="Y10" s="66">
        <f t="shared" si="4"/>
        <v>0</v>
      </c>
      <c r="Z10" s="66">
        <f t="shared" si="4"/>
        <v>0</v>
      </c>
      <c r="AA10" s="189">
        <f t="shared" si="4"/>
        <v>0</v>
      </c>
      <c r="AB10" s="66"/>
    </row>
    <row r="11" spans="1:28" ht="15.75" customHeight="1" x14ac:dyDescent="0.25">
      <c r="A11" s="134" t="s">
        <v>336</v>
      </c>
      <c r="B11" s="96" t="s">
        <v>335</v>
      </c>
      <c r="C11" s="96">
        <v>40</v>
      </c>
      <c r="D11" s="96">
        <v>2057</v>
      </c>
      <c r="E11" s="96" t="str">
        <f t="shared" si="3"/>
        <v>-</v>
      </c>
      <c r="F11" s="283">
        <v>22251</v>
      </c>
      <c r="G11" s="283">
        <f>+F11*(1+$L$2)</f>
        <v>24387.096000000001</v>
      </c>
      <c r="H11" s="100">
        <f t="shared" si="5"/>
        <v>0</v>
      </c>
      <c r="I11" s="66">
        <f t="shared" si="4"/>
        <v>0</v>
      </c>
      <c r="J11" s="66">
        <f t="shared" si="4"/>
        <v>0</v>
      </c>
      <c r="K11" s="66">
        <f t="shared" si="4"/>
        <v>0</v>
      </c>
      <c r="L11" s="66">
        <f t="shared" si="4"/>
        <v>0</v>
      </c>
      <c r="M11" s="66">
        <f t="shared" si="4"/>
        <v>0</v>
      </c>
      <c r="N11" s="66">
        <f t="shared" si="4"/>
        <v>0</v>
      </c>
      <c r="O11" s="66">
        <f t="shared" si="4"/>
        <v>0</v>
      </c>
      <c r="P11" s="66">
        <f t="shared" si="4"/>
        <v>0</v>
      </c>
      <c r="Q11" s="66">
        <f t="shared" si="4"/>
        <v>0</v>
      </c>
      <c r="R11" s="66">
        <f t="shared" si="4"/>
        <v>0</v>
      </c>
      <c r="S11" s="66">
        <f t="shared" si="4"/>
        <v>0</v>
      </c>
      <c r="T11" s="66">
        <f t="shared" si="4"/>
        <v>0</v>
      </c>
      <c r="U11" s="66">
        <f t="shared" si="4"/>
        <v>0</v>
      </c>
      <c r="V11" s="66">
        <f t="shared" si="4"/>
        <v>0</v>
      </c>
      <c r="W11" s="66">
        <f t="shared" si="4"/>
        <v>0</v>
      </c>
      <c r="X11" s="66">
        <f t="shared" si="4"/>
        <v>0</v>
      </c>
      <c r="Y11" s="66">
        <f t="shared" si="4"/>
        <v>0</v>
      </c>
      <c r="Z11" s="66">
        <f t="shared" si="4"/>
        <v>0</v>
      </c>
      <c r="AA11" s="189">
        <f t="shared" si="4"/>
        <v>0</v>
      </c>
      <c r="AB11" s="66"/>
    </row>
    <row r="12" spans="1:28" x14ac:dyDescent="0.25">
      <c r="A12" s="289" t="s">
        <v>92</v>
      </c>
      <c r="B12" s="96"/>
      <c r="C12" s="96"/>
      <c r="D12" s="96"/>
      <c r="E12" s="96"/>
      <c r="F12" s="283"/>
      <c r="G12" s="283"/>
      <c r="H12" s="100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189"/>
      <c r="AB12" s="66"/>
    </row>
    <row r="13" spans="1:28" x14ac:dyDescent="0.25">
      <c r="A13" s="134" t="s">
        <v>194</v>
      </c>
      <c r="B13" s="96">
        <v>88</v>
      </c>
      <c r="C13" s="96">
        <v>40</v>
      </c>
      <c r="D13" s="96">
        <v>2057</v>
      </c>
      <c r="E13" s="96" t="str">
        <f t="shared" si="3"/>
        <v>-</v>
      </c>
      <c r="F13" s="283">
        <v>37698</v>
      </c>
      <c r="G13" s="283">
        <f>+F13*(1+$L$2)</f>
        <v>41317.008000000002</v>
      </c>
      <c r="H13" s="100">
        <f t="shared" si="5"/>
        <v>0</v>
      </c>
      <c r="I13" s="66">
        <f t="shared" si="5"/>
        <v>0</v>
      </c>
      <c r="J13" s="66">
        <f t="shared" si="5"/>
        <v>0</v>
      </c>
      <c r="K13" s="66">
        <f t="shared" si="5"/>
        <v>0</v>
      </c>
      <c r="L13" s="66">
        <f t="shared" si="5"/>
        <v>0</v>
      </c>
      <c r="M13" s="66">
        <f t="shared" si="5"/>
        <v>0</v>
      </c>
      <c r="N13" s="66">
        <f t="shared" si="5"/>
        <v>0</v>
      </c>
      <c r="O13" s="66">
        <f t="shared" si="5"/>
        <v>0</v>
      </c>
      <c r="P13" s="66">
        <f t="shared" si="5"/>
        <v>0</v>
      </c>
      <c r="Q13" s="66">
        <f t="shared" si="5"/>
        <v>0</v>
      </c>
      <c r="R13" s="66">
        <f t="shared" si="5"/>
        <v>0</v>
      </c>
      <c r="S13" s="66">
        <f t="shared" si="5"/>
        <v>0</v>
      </c>
      <c r="T13" s="66">
        <f t="shared" si="5"/>
        <v>0</v>
      </c>
      <c r="U13" s="66">
        <f t="shared" si="5"/>
        <v>0</v>
      </c>
      <c r="V13" s="66">
        <f t="shared" si="5"/>
        <v>0</v>
      </c>
      <c r="W13" s="66">
        <f t="shared" si="5"/>
        <v>0</v>
      </c>
      <c r="X13" s="66">
        <f t="shared" ref="I13:AA24" si="6">IF(+X$4=$D13,+$G13,0)</f>
        <v>0</v>
      </c>
      <c r="Y13" s="66">
        <f t="shared" si="6"/>
        <v>0</v>
      </c>
      <c r="Z13" s="66">
        <f t="shared" si="6"/>
        <v>0</v>
      </c>
      <c r="AA13" s="189">
        <f t="shared" si="6"/>
        <v>0</v>
      </c>
      <c r="AB13" s="66"/>
    </row>
    <row r="14" spans="1:28" x14ac:dyDescent="0.25">
      <c r="A14" s="134" t="s">
        <v>339</v>
      </c>
      <c r="B14" s="96">
        <v>1</v>
      </c>
      <c r="C14" s="96">
        <v>15</v>
      </c>
      <c r="D14" s="96">
        <v>2032</v>
      </c>
      <c r="E14" s="96" t="str">
        <f t="shared" si="3"/>
        <v>-</v>
      </c>
      <c r="F14" s="283">
        <v>2254</v>
      </c>
      <c r="G14" s="283">
        <f>+F14*(1+$L$2)</f>
        <v>2470.384</v>
      </c>
      <c r="H14" s="100">
        <f t="shared" si="5"/>
        <v>0</v>
      </c>
      <c r="I14" s="66">
        <f t="shared" si="6"/>
        <v>0</v>
      </c>
      <c r="J14" s="66">
        <f t="shared" si="6"/>
        <v>0</v>
      </c>
      <c r="K14" s="66">
        <f t="shared" si="6"/>
        <v>0</v>
      </c>
      <c r="L14" s="66">
        <f t="shared" si="6"/>
        <v>0</v>
      </c>
      <c r="M14" s="66">
        <f t="shared" si="6"/>
        <v>0</v>
      </c>
      <c r="N14" s="66">
        <f t="shared" si="6"/>
        <v>0</v>
      </c>
      <c r="O14" s="66">
        <f t="shared" si="6"/>
        <v>2470.384</v>
      </c>
      <c r="P14" s="66">
        <f t="shared" si="6"/>
        <v>0</v>
      </c>
      <c r="Q14" s="66">
        <f t="shared" si="6"/>
        <v>0</v>
      </c>
      <c r="R14" s="66">
        <f t="shared" si="6"/>
        <v>0</v>
      </c>
      <c r="S14" s="66">
        <f t="shared" si="6"/>
        <v>0</v>
      </c>
      <c r="T14" s="66">
        <f t="shared" si="6"/>
        <v>0</v>
      </c>
      <c r="U14" s="66">
        <f t="shared" si="6"/>
        <v>0</v>
      </c>
      <c r="V14" s="66">
        <f t="shared" si="6"/>
        <v>0</v>
      </c>
      <c r="W14" s="66">
        <f t="shared" si="6"/>
        <v>0</v>
      </c>
      <c r="X14" s="66">
        <f t="shared" si="6"/>
        <v>0</v>
      </c>
      <c r="Y14" s="66">
        <f t="shared" si="6"/>
        <v>0</v>
      </c>
      <c r="Z14" s="66">
        <f t="shared" si="6"/>
        <v>0</v>
      </c>
      <c r="AA14" s="189">
        <f t="shared" si="6"/>
        <v>0</v>
      </c>
      <c r="AB14" s="66"/>
    </row>
    <row r="15" spans="1:28" x14ac:dyDescent="0.25">
      <c r="A15" s="134" t="s">
        <v>341</v>
      </c>
      <c r="B15" s="96">
        <v>1</v>
      </c>
      <c r="C15" s="96">
        <v>18</v>
      </c>
      <c r="D15" s="96">
        <v>2034</v>
      </c>
      <c r="E15" s="96" t="str">
        <f t="shared" si="3"/>
        <v>-</v>
      </c>
      <c r="F15" s="283">
        <v>8302</v>
      </c>
      <c r="G15" s="283">
        <f>+F15*(1+$L$2)</f>
        <v>9098.9920000000002</v>
      </c>
      <c r="H15" s="100">
        <f t="shared" si="5"/>
        <v>0</v>
      </c>
      <c r="I15" s="66">
        <f t="shared" si="6"/>
        <v>0</v>
      </c>
      <c r="J15" s="66">
        <f t="shared" si="6"/>
        <v>0</v>
      </c>
      <c r="K15" s="66">
        <f t="shared" si="6"/>
        <v>0</v>
      </c>
      <c r="L15" s="66">
        <f t="shared" si="6"/>
        <v>0</v>
      </c>
      <c r="M15" s="66">
        <f t="shared" si="6"/>
        <v>0</v>
      </c>
      <c r="N15" s="66">
        <f t="shared" si="6"/>
        <v>0</v>
      </c>
      <c r="O15" s="66">
        <f t="shared" si="6"/>
        <v>0</v>
      </c>
      <c r="P15" s="66">
        <f t="shared" si="6"/>
        <v>0</v>
      </c>
      <c r="Q15" s="66">
        <f t="shared" si="6"/>
        <v>9098.9920000000002</v>
      </c>
      <c r="R15" s="66">
        <f t="shared" si="6"/>
        <v>0</v>
      </c>
      <c r="S15" s="66">
        <f t="shared" si="6"/>
        <v>0</v>
      </c>
      <c r="T15" s="66">
        <f t="shared" si="6"/>
        <v>0</v>
      </c>
      <c r="U15" s="66">
        <f t="shared" si="6"/>
        <v>0</v>
      </c>
      <c r="V15" s="66">
        <f t="shared" si="6"/>
        <v>0</v>
      </c>
      <c r="W15" s="66">
        <f t="shared" si="6"/>
        <v>0</v>
      </c>
      <c r="X15" s="66">
        <f t="shared" si="6"/>
        <v>0</v>
      </c>
      <c r="Y15" s="66">
        <f t="shared" si="6"/>
        <v>0</v>
      </c>
      <c r="Z15" s="66">
        <f t="shared" si="6"/>
        <v>0</v>
      </c>
      <c r="AA15" s="189">
        <f t="shared" si="6"/>
        <v>0</v>
      </c>
      <c r="AB15" s="66"/>
    </row>
    <row r="16" spans="1:28" x14ac:dyDescent="0.25">
      <c r="A16" s="134" t="s">
        <v>342</v>
      </c>
      <c r="B16" s="96">
        <v>1</v>
      </c>
      <c r="C16" s="96">
        <v>7</v>
      </c>
      <c r="D16" s="96">
        <v>2025</v>
      </c>
      <c r="E16" s="96" t="str">
        <f t="shared" si="3"/>
        <v>Ja</v>
      </c>
      <c r="F16" s="283">
        <v>3237</v>
      </c>
      <c r="G16" s="283">
        <f>+F16*(1+$L$2)</f>
        <v>3547.7520000000004</v>
      </c>
      <c r="H16" s="100">
        <f t="shared" si="5"/>
        <v>3547.7520000000004</v>
      </c>
      <c r="I16" s="66">
        <f t="shared" si="6"/>
        <v>0</v>
      </c>
      <c r="J16" s="66">
        <f t="shared" si="6"/>
        <v>0</v>
      </c>
      <c r="K16" s="66">
        <f t="shared" si="6"/>
        <v>0</v>
      </c>
      <c r="L16" s="66">
        <f t="shared" si="6"/>
        <v>0</v>
      </c>
      <c r="M16" s="66">
        <f t="shared" si="6"/>
        <v>0</v>
      </c>
      <c r="N16" s="66">
        <f t="shared" si="6"/>
        <v>0</v>
      </c>
      <c r="O16" s="66">
        <f>+H16</f>
        <v>3547.7520000000004</v>
      </c>
      <c r="P16" s="66">
        <f t="shared" si="6"/>
        <v>0</v>
      </c>
      <c r="Q16" s="66">
        <f t="shared" si="6"/>
        <v>0</v>
      </c>
      <c r="R16" s="66">
        <f t="shared" si="6"/>
        <v>0</v>
      </c>
      <c r="S16" s="66">
        <f t="shared" si="6"/>
        <v>0</v>
      </c>
      <c r="T16" s="66">
        <f t="shared" si="6"/>
        <v>0</v>
      </c>
      <c r="U16" s="66">
        <f t="shared" si="6"/>
        <v>0</v>
      </c>
      <c r="V16" s="66">
        <f>+O16</f>
        <v>3547.7520000000004</v>
      </c>
      <c r="W16" s="66">
        <f t="shared" si="6"/>
        <v>0</v>
      </c>
      <c r="X16" s="66">
        <f t="shared" si="6"/>
        <v>0</v>
      </c>
      <c r="Y16" s="66">
        <f t="shared" si="6"/>
        <v>0</v>
      </c>
      <c r="Z16" s="66">
        <f t="shared" si="6"/>
        <v>0</v>
      </c>
      <c r="AA16" s="189">
        <f t="shared" si="6"/>
        <v>0</v>
      </c>
      <c r="AB16" s="66"/>
    </row>
    <row r="17" spans="1:28" ht="15.75" thickBot="1" x14ac:dyDescent="0.3">
      <c r="A17" s="75" t="s">
        <v>340</v>
      </c>
      <c r="B17" s="278">
        <v>45</v>
      </c>
      <c r="C17" s="278">
        <v>25</v>
      </c>
      <c r="D17" s="278">
        <v>2042</v>
      </c>
      <c r="E17" s="290" t="str">
        <f t="shared" si="3"/>
        <v>-</v>
      </c>
      <c r="F17" s="290">
        <v>5826</v>
      </c>
      <c r="G17" s="290">
        <f>+F17*(1+$L$2)</f>
        <v>6385.2960000000003</v>
      </c>
      <c r="H17" s="116">
        <f t="shared" si="5"/>
        <v>0</v>
      </c>
      <c r="I17" s="78">
        <f t="shared" si="6"/>
        <v>0</v>
      </c>
      <c r="J17" s="78">
        <f t="shared" si="6"/>
        <v>0</v>
      </c>
      <c r="K17" s="78">
        <f t="shared" si="6"/>
        <v>0</v>
      </c>
      <c r="L17" s="78">
        <f t="shared" si="6"/>
        <v>0</v>
      </c>
      <c r="M17" s="78">
        <f t="shared" si="6"/>
        <v>0</v>
      </c>
      <c r="N17" s="78">
        <f t="shared" si="6"/>
        <v>0</v>
      </c>
      <c r="O17" s="78">
        <f t="shared" si="6"/>
        <v>0</v>
      </c>
      <c r="P17" s="78">
        <f t="shared" si="6"/>
        <v>0</v>
      </c>
      <c r="Q17" s="78">
        <f t="shared" si="6"/>
        <v>0</v>
      </c>
      <c r="R17" s="78">
        <f t="shared" si="6"/>
        <v>0</v>
      </c>
      <c r="S17" s="78">
        <f t="shared" si="6"/>
        <v>0</v>
      </c>
      <c r="T17" s="78">
        <f t="shared" si="6"/>
        <v>0</v>
      </c>
      <c r="U17" s="78">
        <f t="shared" si="6"/>
        <v>0</v>
      </c>
      <c r="V17" s="78">
        <f t="shared" si="6"/>
        <v>0</v>
      </c>
      <c r="W17" s="78">
        <f t="shared" si="6"/>
        <v>0</v>
      </c>
      <c r="X17" s="78">
        <f t="shared" si="6"/>
        <v>0</v>
      </c>
      <c r="Y17" s="78">
        <f t="shared" si="6"/>
        <v>6385.2960000000003</v>
      </c>
      <c r="Z17" s="78">
        <f t="shared" si="6"/>
        <v>0</v>
      </c>
      <c r="AA17" s="80">
        <f t="shared" si="6"/>
        <v>0</v>
      </c>
      <c r="AB17" s="66"/>
    </row>
    <row r="18" spans="1:28" x14ac:dyDescent="0.25">
      <c r="B18" s="96"/>
      <c r="C18" s="96"/>
      <c r="D18" s="96"/>
      <c r="E18" s="96"/>
      <c r="F18" s="283"/>
      <c r="G18" s="283"/>
      <c r="H18" s="282">
        <f t="shared" ref="H18:AA18" si="7">SUM(H6:H17)</f>
        <v>3547.7520000000004</v>
      </c>
      <c r="I18" s="282">
        <f t="shared" si="7"/>
        <v>0</v>
      </c>
      <c r="J18" s="282">
        <f t="shared" si="7"/>
        <v>0</v>
      </c>
      <c r="K18" s="282">
        <f t="shared" si="7"/>
        <v>0</v>
      </c>
      <c r="L18" s="282">
        <f t="shared" si="7"/>
        <v>0</v>
      </c>
      <c r="M18" s="282">
        <f t="shared" si="7"/>
        <v>0</v>
      </c>
      <c r="N18" s="282">
        <f t="shared" si="7"/>
        <v>0</v>
      </c>
      <c r="O18" s="282">
        <f t="shared" si="7"/>
        <v>6018.1360000000004</v>
      </c>
      <c r="P18" s="282">
        <f t="shared" si="7"/>
        <v>0</v>
      </c>
      <c r="Q18" s="282">
        <f t="shared" si="7"/>
        <v>9098.9920000000002</v>
      </c>
      <c r="R18" s="282">
        <f t="shared" si="7"/>
        <v>0</v>
      </c>
      <c r="S18" s="282">
        <f t="shared" si="7"/>
        <v>0</v>
      </c>
      <c r="T18" s="282">
        <f t="shared" si="7"/>
        <v>0</v>
      </c>
      <c r="U18" s="282">
        <f t="shared" si="7"/>
        <v>0</v>
      </c>
      <c r="V18" s="282">
        <f t="shared" si="7"/>
        <v>3547.7520000000004</v>
      </c>
      <c r="W18" s="282">
        <f t="shared" si="7"/>
        <v>0</v>
      </c>
      <c r="X18" s="282">
        <f t="shared" si="7"/>
        <v>0</v>
      </c>
      <c r="Y18" s="282">
        <f t="shared" si="7"/>
        <v>103598.304</v>
      </c>
      <c r="Z18" s="282">
        <f t="shared" si="7"/>
        <v>0</v>
      </c>
      <c r="AA18" s="282">
        <f t="shared" si="7"/>
        <v>0</v>
      </c>
      <c r="AB18" s="66">
        <f>SUM(H18:AA18)</f>
        <v>125810.936</v>
      </c>
    </row>
    <row r="19" spans="1:28" ht="15.75" thickBot="1" x14ac:dyDescent="0.3">
      <c r="B19" s="96"/>
      <c r="C19" s="96"/>
      <c r="D19" s="96"/>
      <c r="E19" s="96"/>
      <c r="F19" s="283"/>
      <c r="G19" s="283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66"/>
    </row>
    <row r="20" spans="1:28" ht="15.75" thickBot="1" x14ac:dyDescent="0.3">
      <c r="A20" s="302" t="s">
        <v>169</v>
      </c>
      <c r="B20" s="285"/>
      <c r="C20" s="285"/>
      <c r="D20" s="285"/>
      <c r="E20" s="285"/>
      <c r="F20" s="286"/>
      <c r="G20" s="286"/>
      <c r="H20" s="301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8"/>
      <c r="AB20" s="66"/>
    </row>
    <row r="21" spans="1:28" x14ac:dyDescent="0.25">
      <c r="A21" s="291" t="s">
        <v>325</v>
      </c>
      <c r="B21" s="277"/>
      <c r="C21" s="277"/>
      <c r="D21" s="277"/>
      <c r="E21" s="277"/>
      <c r="F21" s="292"/>
      <c r="G21" s="292"/>
      <c r="H21" s="300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276"/>
      <c r="AB21" s="66"/>
    </row>
    <row r="22" spans="1:28" x14ac:dyDescent="0.25">
      <c r="A22" s="134" t="s">
        <v>308</v>
      </c>
      <c r="B22" s="96">
        <v>5</v>
      </c>
      <c r="C22">
        <v>5</v>
      </c>
      <c r="D22">
        <v>2027</v>
      </c>
      <c r="E22" s="96" t="str">
        <f t="shared" ref="E22:E37" si="8">IF((D22+C22)&lt;($AA$4+1),"Ja","-")</f>
        <v>Ja</v>
      </c>
      <c r="F22" s="66">
        <v>1749</v>
      </c>
      <c r="G22" s="66">
        <f>+F22*(1+$L$2)</f>
        <v>1916.9040000000002</v>
      </c>
      <c r="H22" s="100">
        <f t="shared" ref="H22:H54" si="9">IF(+H$4=$D22,+$G22,0)</f>
        <v>0</v>
      </c>
      <c r="I22" s="66">
        <f t="shared" si="6"/>
        <v>0</v>
      </c>
      <c r="J22" s="66">
        <f t="shared" si="6"/>
        <v>1916.9040000000002</v>
      </c>
      <c r="K22" s="66">
        <f t="shared" si="6"/>
        <v>0</v>
      </c>
      <c r="L22" s="66">
        <f t="shared" si="6"/>
        <v>0</v>
      </c>
      <c r="M22" s="66">
        <f t="shared" si="6"/>
        <v>0</v>
      </c>
      <c r="N22" s="66">
        <f t="shared" si="6"/>
        <v>0</v>
      </c>
      <c r="O22" s="66">
        <f>+J22</f>
        <v>1916.9040000000002</v>
      </c>
      <c r="P22" s="66">
        <f t="shared" si="6"/>
        <v>0</v>
      </c>
      <c r="Q22" s="66">
        <f t="shared" si="6"/>
        <v>0</v>
      </c>
      <c r="R22" s="66">
        <f t="shared" si="6"/>
        <v>0</v>
      </c>
      <c r="S22" s="66">
        <f t="shared" si="6"/>
        <v>0</v>
      </c>
      <c r="T22" s="66">
        <f>+O22</f>
        <v>1916.9040000000002</v>
      </c>
      <c r="U22" s="66">
        <f t="shared" si="6"/>
        <v>0</v>
      </c>
      <c r="V22" s="66">
        <f t="shared" si="6"/>
        <v>0</v>
      </c>
      <c r="W22" s="66">
        <f t="shared" si="6"/>
        <v>0</v>
      </c>
      <c r="X22" s="66">
        <f t="shared" si="6"/>
        <v>0</v>
      </c>
      <c r="Y22" s="66">
        <f>+T22</f>
        <v>1916.9040000000002</v>
      </c>
      <c r="Z22" s="66">
        <f t="shared" si="6"/>
        <v>0</v>
      </c>
      <c r="AA22" s="189">
        <f t="shared" si="6"/>
        <v>0</v>
      </c>
      <c r="AB22" s="66"/>
    </row>
    <row r="23" spans="1:28" x14ac:dyDescent="0.25">
      <c r="A23" s="134" t="s">
        <v>312</v>
      </c>
      <c r="B23" s="96" t="s">
        <v>311</v>
      </c>
      <c r="C23">
        <v>20</v>
      </c>
      <c r="D23">
        <v>2027</v>
      </c>
      <c r="E23" s="96" t="str">
        <f t="shared" si="8"/>
        <v>-</v>
      </c>
      <c r="F23" s="66">
        <v>1233</v>
      </c>
      <c r="G23" s="66">
        <f>+F23*(1+$L$2)</f>
        <v>1351.3680000000002</v>
      </c>
      <c r="H23" s="100">
        <f t="shared" si="9"/>
        <v>0</v>
      </c>
      <c r="I23" s="66">
        <f t="shared" si="6"/>
        <v>0</v>
      </c>
      <c r="J23" s="66">
        <f t="shared" si="6"/>
        <v>1351.3680000000002</v>
      </c>
      <c r="K23" s="66">
        <f t="shared" si="6"/>
        <v>0</v>
      </c>
      <c r="L23" s="66">
        <f t="shared" si="6"/>
        <v>0</v>
      </c>
      <c r="M23" s="66">
        <f t="shared" si="6"/>
        <v>0</v>
      </c>
      <c r="N23" s="66">
        <f t="shared" si="6"/>
        <v>0</v>
      </c>
      <c r="O23" s="66">
        <f t="shared" si="6"/>
        <v>0</v>
      </c>
      <c r="P23" s="66">
        <f t="shared" si="6"/>
        <v>0</v>
      </c>
      <c r="Q23" s="66">
        <f t="shared" si="6"/>
        <v>0</v>
      </c>
      <c r="R23" s="66">
        <f t="shared" si="6"/>
        <v>0</v>
      </c>
      <c r="S23" s="66">
        <f t="shared" si="6"/>
        <v>0</v>
      </c>
      <c r="T23" s="66">
        <f t="shared" si="6"/>
        <v>0</v>
      </c>
      <c r="U23" s="66">
        <f t="shared" si="6"/>
        <v>0</v>
      </c>
      <c r="V23" s="66">
        <f t="shared" si="6"/>
        <v>0</v>
      </c>
      <c r="W23" s="66">
        <f t="shared" si="6"/>
        <v>0</v>
      </c>
      <c r="X23" s="66">
        <f t="shared" si="6"/>
        <v>0</v>
      </c>
      <c r="Y23" s="66">
        <f t="shared" si="6"/>
        <v>0</v>
      </c>
      <c r="Z23" s="66">
        <f t="shared" si="6"/>
        <v>0</v>
      </c>
      <c r="AA23" s="189">
        <f t="shared" si="6"/>
        <v>0</v>
      </c>
      <c r="AB23" s="66"/>
    </row>
    <row r="24" spans="1:28" x14ac:dyDescent="0.25">
      <c r="A24" s="134" t="s">
        <v>313</v>
      </c>
      <c r="B24" s="96" t="s">
        <v>311</v>
      </c>
      <c r="C24">
        <v>20</v>
      </c>
      <c r="D24">
        <v>2037</v>
      </c>
      <c r="E24" s="96" t="str">
        <f t="shared" si="8"/>
        <v>-</v>
      </c>
      <c r="F24" s="66">
        <v>4932</v>
      </c>
      <c r="G24" s="66">
        <f>+F24*(1+$L$2)</f>
        <v>5405.4720000000007</v>
      </c>
      <c r="H24" s="100">
        <f t="shared" si="9"/>
        <v>0</v>
      </c>
      <c r="I24" s="66">
        <f t="shared" si="6"/>
        <v>0</v>
      </c>
      <c r="J24" s="66">
        <f t="shared" si="6"/>
        <v>0</v>
      </c>
      <c r="K24" s="66">
        <f t="shared" si="6"/>
        <v>0</v>
      </c>
      <c r="L24" s="66">
        <f t="shared" si="6"/>
        <v>0</v>
      </c>
      <c r="M24" s="66">
        <f t="shared" si="6"/>
        <v>0</v>
      </c>
      <c r="N24" s="66">
        <f t="shared" si="6"/>
        <v>0</v>
      </c>
      <c r="O24" s="66">
        <f t="shared" si="6"/>
        <v>0</v>
      </c>
      <c r="P24" s="66">
        <f t="shared" si="6"/>
        <v>0</v>
      </c>
      <c r="Q24" s="66">
        <f t="shared" si="6"/>
        <v>0</v>
      </c>
      <c r="R24" s="66">
        <f t="shared" ref="I24:AA32" si="10">IF(+R$4=$D24,+$G24,0)</f>
        <v>0</v>
      </c>
      <c r="S24" s="66">
        <f t="shared" si="10"/>
        <v>0</v>
      </c>
      <c r="T24" s="66">
        <f t="shared" si="10"/>
        <v>5405.4720000000007</v>
      </c>
      <c r="U24" s="66">
        <f t="shared" si="10"/>
        <v>0</v>
      </c>
      <c r="V24" s="66">
        <f t="shared" si="10"/>
        <v>0</v>
      </c>
      <c r="W24" s="66">
        <f t="shared" si="10"/>
        <v>0</v>
      </c>
      <c r="X24" s="66">
        <f t="shared" si="10"/>
        <v>0</v>
      </c>
      <c r="Y24" s="66">
        <f t="shared" si="10"/>
        <v>0</v>
      </c>
      <c r="Z24" s="66">
        <f t="shared" si="10"/>
        <v>0</v>
      </c>
      <c r="AA24" s="189">
        <f t="shared" si="10"/>
        <v>0</v>
      </c>
      <c r="AB24" s="66"/>
    </row>
    <row r="25" spans="1:28" x14ac:dyDescent="0.25">
      <c r="A25" s="134" t="s">
        <v>324</v>
      </c>
      <c r="B25" s="96" t="s">
        <v>316</v>
      </c>
      <c r="C25">
        <v>20</v>
      </c>
      <c r="D25">
        <v>2037</v>
      </c>
      <c r="E25" s="96" t="str">
        <f t="shared" si="8"/>
        <v>-</v>
      </c>
      <c r="F25" s="66">
        <v>3427</v>
      </c>
      <c r="G25" s="66">
        <f>+F25*(1+$L$2)</f>
        <v>3755.9920000000002</v>
      </c>
      <c r="H25" s="100">
        <f t="shared" si="9"/>
        <v>0</v>
      </c>
      <c r="I25" s="66">
        <f t="shared" si="10"/>
        <v>0</v>
      </c>
      <c r="J25" s="66">
        <f t="shared" si="10"/>
        <v>0</v>
      </c>
      <c r="K25" s="66">
        <f t="shared" si="10"/>
        <v>0</v>
      </c>
      <c r="L25" s="66">
        <f t="shared" si="10"/>
        <v>0</v>
      </c>
      <c r="M25" s="66">
        <f t="shared" si="10"/>
        <v>0</v>
      </c>
      <c r="N25" s="66">
        <f t="shared" si="10"/>
        <v>0</v>
      </c>
      <c r="O25" s="66">
        <f t="shared" si="10"/>
        <v>0</v>
      </c>
      <c r="P25" s="66">
        <f t="shared" si="10"/>
        <v>0</v>
      </c>
      <c r="Q25" s="66">
        <f t="shared" si="10"/>
        <v>0</v>
      </c>
      <c r="R25" s="66">
        <f t="shared" si="10"/>
        <v>0</v>
      </c>
      <c r="S25" s="66">
        <f t="shared" si="10"/>
        <v>0</v>
      </c>
      <c r="T25" s="66">
        <f t="shared" si="10"/>
        <v>3755.9920000000002</v>
      </c>
      <c r="U25" s="66">
        <f t="shared" si="10"/>
        <v>0</v>
      </c>
      <c r="V25" s="66">
        <f t="shared" si="10"/>
        <v>0</v>
      </c>
      <c r="W25" s="66">
        <f t="shared" si="10"/>
        <v>0</v>
      </c>
      <c r="X25" s="66">
        <f t="shared" si="10"/>
        <v>0</v>
      </c>
      <c r="Y25" s="66">
        <f t="shared" si="10"/>
        <v>0</v>
      </c>
      <c r="Z25" s="66">
        <f t="shared" si="10"/>
        <v>0</v>
      </c>
      <c r="AA25" s="189">
        <f t="shared" si="10"/>
        <v>0</v>
      </c>
      <c r="AB25" s="66"/>
    </row>
    <row r="26" spans="1:28" x14ac:dyDescent="0.25">
      <c r="A26" s="289" t="s">
        <v>328</v>
      </c>
      <c r="B26" s="96"/>
      <c r="E26" s="96"/>
      <c r="F26" s="66"/>
      <c r="H26" s="100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189"/>
      <c r="AB26" s="66"/>
    </row>
    <row r="27" spans="1:28" x14ac:dyDescent="0.25">
      <c r="A27" s="134" t="s">
        <v>326</v>
      </c>
      <c r="B27" s="96"/>
      <c r="C27">
        <v>30</v>
      </c>
      <c r="D27">
        <v>2047</v>
      </c>
      <c r="E27" s="96" t="str">
        <f t="shared" si="8"/>
        <v>-</v>
      </c>
      <c r="F27" s="66">
        <v>8157</v>
      </c>
      <c r="G27" s="66">
        <f>+F27*(1+$L$2)</f>
        <v>8940.0720000000001</v>
      </c>
      <c r="H27" s="100">
        <f t="shared" si="9"/>
        <v>0</v>
      </c>
      <c r="I27" s="66">
        <f t="shared" si="10"/>
        <v>0</v>
      </c>
      <c r="J27" s="66">
        <f t="shared" si="10"/>
        <v>0</v>
      </c>
      <c r="K27" s="66">
        <f t="shared" si="10"/>
        <v>0</v>
      </c>
      <c r="L27" s="66">
        <f t="shared" si="10"/>
        <v>0</v>
      </c>
      <c r="M27" s="66">
        <f t="shared" si="10"/>
        <v>0</v>
      </c>
      <c r="N27" s="66">
        <f t="shared" si="10"/>
        <v>0</v>
      </c>
      <c r="O27" s="66">
        <f t="shared" si="10"/>
        <v>0</v>
      </c>
      <c r="P27" s="66">
        <f t="shared" si="10"/>
        <v>0</v>
      </c>
      <c r="Q27" s="66">
        <f t="shared" si="10"/>
        <v>0</v>
      </c>
      <c r="R27" s="66">
        <f t="shared" si="10"/>
        <v>0</v>
      </c>
      <c r="S27" s="66">
        <f t="shared" si="10"/>
        <v>0</v>
      </c>
      <c r="T27" s="66">
        <f t="shared" si="10"/>
        <v>0</v>
      </c>
      <c r="U27" s="66">
        <f t="shared" si="10"/>
        <v>0</v>
      </c>
      <c r="V27" s="66">
        <f t="shared" si="10"/>
        <v>0</v>
      </c>
      <c r="W27" s="66">
        <f t="shared" si="10"/>
        <v>0</v>
      </c>
      <c r="X27" s="66">
        <f t="shared" si="10"/>
        <v>0</v>
      </c>
      <c r="Y27" s="66">
        <f t="shared" si="10"/>
        <v>0</v>
      </c>
      <c r="Z27" s="66">
        <f t="shared" si="10"/>
        <v>0</v>
      </c>
      <c r="AA27" s="189">
        <f t="shared" si="10"/>
        <v>0</v>
      </c>
      <c r="AB27" s="66"/>
    </row>
    <row r="28" spans="1:28" x14ac:dyDescent="0.25">
      <c r="A28" s="134" t="s">
        <v>327</v>
      </c>
      <c r="B28" s="96">
        <v>32</v>
      </c>
      <c r="C28">
        <v>15</v>
      </c>
      <c r="D28">
        <v>2031</v>
      </c>
      <c r="E28" s="96" t="str">
        <f t="shared" si="8"/>
        <v>-</v>
      </c>
      <c r="F28" s="66">
        <v>16539</v>
      </c>
      <c r="G28" s="66">
        <f>+F28*(1+$L$2)</f>
        <v>18126.744000000002</v>
      </c>
      <c r="H28" s="100">
        <f t="shared" si="9"/>
        <v>0</v>
      </c>
      <c r="I28" s="66">
        <f t="shared" si="10"/>
        <v>0</v>
      </c>
      <c r="J28" s="66">
        <f t="shared" si="10"/>
        <v>0</v>
      </c>
      <c r="K28" s="66">
        <f t="shared" si="10"/>
        <v>0</v>
      </c>
      <c r="L28" s="66">
        <f t="shared" si="10"/>
        <v>0</v>
      </c>
      <c r="M28" s="66">
        <f t="shared" si="10"/>
        <v>0</v>
      </c>
      <c r="N28" s="66">
        <f t="shared" si="10"/>
        <v>18126.744000000002</v>
      </c>
      <c r="O28" s="66">
        <f t="shared" si="10"/>
        <v>0</v>
      </c>
      <c r="P28" s="66">
        <f t="shared" si="10"/>
        <v>0</v>
      </c>
      <c r="Q28" s="66">
        <f t="shared" si="10"/>
        <v>0</v>
      </c>
      <c r="R28" s="66">
        <f t="shared" si="10"/>
        <v>0</v>
      </c>
      <c r="S28" s="66">
        <f t="shared" si="10"/>
        <v>0</v>
      </c>
      <c r="T28" s="66">
        <f t="shared" si="10"/>
        <v>0</v>
      </c>
      <c r="U28" s="66">
        <f t="shared" si="10"/>
        <v>0</v>
      </c>
      <c r="V28" s="66">
        <f t="shared" si="10"/>
        <v>0</v>
      </c>
      <c r="W28" s="66">
        <f t="shared" si="10"/>
        <v>0</v>
      </c>
      <c r="X28" s="66">
        <f t="shared" si="10"/>
        <v>0</v>
      </c>
      <c r="Y28" s="66">
        <f t="shared" si="10"/>
        <v>0</v>
      </c>
      <c r="Z28" s="66">
        <f t="shared" si="10"/>
        <v>0</v>
      </c>
      <c r="AA28" s="189">
        <f t="shared" si="10"/>
        <v>0</v>
      </c>
      <c r="AB28" s="66"/>
    </row>
    <row r="29" spans="1:28" x14ac:dyDescent="0.25">
      <c r="A29" s="134" t="s">
        <v>314</v>
      </c>
      <c r="B29" s="96" t="s">
        <v>315</v>
      </c>
      <c r="C29">
        <v>20</v>
      </c>
      <c r="D29">
        <v>2037</v>
      </c>
      <c r="E29" s="96" t="str">
        <f t="shared" si="8"/>
        <v>-</v>
      </c>
      <c r="F29" s="66">
        <v>19295</v>
      </c>
      <c r="G29" s="66">
        <f>+F29*(1+$L$2)</f>
        <v>21147.320000000003</v>
      </c>
      <c r="H29" s="100">
        <f t="shared" si="9"/>
        <v>0</v>
      </c>
      <c r="I29" s="66">
        <f t="shared" si="10"/>
        <v>0</v>
      </c>
      <c r="J29" s="66">
        <f t="shared" si="10"/>
        <v>0</v>
      </c>
      <c r="K29" s="66">
        <f t="shared" si="10"/>
        <v>0</v>
      </c>
      <c r="L29" s="66">
        <f t="shared" si="10"/>
        <v>0</v>
      </c>
      <c r="M29" s="66">
        <f t="shared" si="10"/>
        <v>0</v>
      </c>
      <c r="N29" s="66">
        <f t="shared" si="10"/>
        <v>0</v>
      </c>
      <c r="O29" s="66">
        <f t="shared" si="10"/>
        <v>0</v>
      </c>
      <c r="P29" s="66">
        <f t="shared" si="10"/>
        <v>0</v>
      </c>
      <c r="Q29" s="66">
        <f t="shared" si="10"/>
        <v>0</v>
      </c>
      <c r="R29" s="66">
        <f t="shared" si="10"/>
        <v>0</v>
      </c>
      <c r="S29" s="66">
        <f t="shared" si="10"/>
        <v>0</v>
      </c>
      <c r="T29" s="66">
        <f t="shared" si="10"/>
        <v>21147.320000000003</v>
      </c>
      <c r="U29" s="66">
        <f t="shared" si="10"/>
        <v>0</v>
      </c>
      <c r="V29" s="66">
        <f t="shared" si="10"/>
        <v>0</v>
      </c>
      <c r="W29" s="66">
        <f t="shared" si="10"/>
        <v>0</v>
      </c>
      <c r="X29" s="66">
        <f t="shared" si="10"/>
        <v>0</v>
      </c>
      <c r="Y29" s="66">
        <f t="shared" si="10"/>
        <v>0</v>
      </c>
      <c r="Z29" s="66">
        <f t="shared" si="10"/>
        <v>0</v>
      </c>
      <c r="AA29" s="189">
        <f t="shared" si="10"/>
        <v>0</v>
      </c>
      <c r="AB29" s="66"/>
    </row>
    <row r="30" spans="1:28" x14ac:dyDescent="0.25">
      <c r="A30" s="289" t="s">
        <v>321</v>
      </c>
      <c r="B30" s="96"/>
      <c r="E30" s="96"/>
      <c r="F30" s="66"/>
      <c r="H30" s="100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189"/>
      <c r="AB30" s="66"/>
    </row>
    <row r="31" spans="1:28" x14ac:dyDescent="0.25">
      <c r="A31" s="134" t="s">
        <v>322</v>
      </c>
      <c r="B31" s="96">
        <v>206</v>
      </c>
      <c r="C31">
        <v>25</v>
      </c>
      <c r="D31">
        <v>2042</v>
      </c>
      <c r="E31" s="96" t="str">
        <f t="shared" si="8"/>
        <v>-</v>
      </c>
      <c r="F31" s="66">
        <v>33455</v>
      </c>
      <c r="G31" s="66">
        <f>+F31*(1+$L$2)</f>
        <v>36666.68</v>
      </c>
      <c r="H31" s="100">
        <f t="shared" si="9"/>
        <v>0</v>
      </c>
      <c r="I31" s="66">
        <f t="shared" si="10"/>
        <v>0</v>
      </c>
      <c r="J31" s="66">
        <f t="shared" si="10"/>
        <v>0</v>
      </c>
      <c r="K31" s="66">
        <f t="shared" si="10"/>
        <v>0</v>
      </c>
      <c r="L31" s="66">
        <f t="shared" si="10"/>
        <v>0</v>
      </c>
      <c r="M31" s="66">
        <f t="shared" si="10"/>
        <v>0</v>
      </c>
      <c r="N31" s="66">
        <f t="shared" si="10"/>
        <v>0</v>
      </c>
      <c r="O31" s="66">
        <f t="shared" si="10"/>
        <v>0</v>
      </c>
      <c r="P31" s="66">
        <f t="shared" si="10"/>
        <v>0</v>
      </c>
      <c r="Q31" s="66">
        <f t="shared" si="10"/>
        <v>0</v>
      </c>
      <c r="R31" s="66">
        <f t="shared" si="10"/>
        <v>0</v>
      </c>
      <c r="S31" s="66">
        <f t="shared" si="10"/>
        <v>0</v>
      </c>
      <c r="T31" s="66">
        <f t="shared" si="10"/>
        <v>0</v>
      </c>
      <c r="U31" s="66">
        <f t="shared" si="10"/>
        <v>0</v>
      </c>
      <c r="V31" s="66">
        <f t="shared" si="10"/>
        <v>0</v>
      </c>
      <c r="W31" s="66">
        <f t="shared" si="10"/>
        <v>0</v>
      </c>
      <c r="X31" s="66">
        <f t="shared" si="10"/>
        <v>0</v>
      </c>
      <c r="Y31" s="66">
        <f t="shared" si="10"/>
        <v>36666.68</v>
      </c>
      <c r="Z31" s="66">
        <f t="shared" si="10"/>
        <v>0</v>
      </c>
      <c r="AA31" s="189">
        <f t="shared" si="10"/>
        <v>0</v>
      </c>
      <c r="AB31" s="66"/>
    </row>
    <row r="32" spans="1:28" x14ac:dyDescent="0.25">
      <c r="A32" s="134" t="s">
        <v>323</v>
      </c>
      <c r="B32" s="96">
        <v>26</v>
      </c>
      <c r="C32" s="223">
        <v>10</v>
      </c>
      <c r="D32">
        <v>2034</v>
      </c>
      <c r="E32" s="96" t="str">
        <f t="shared" si="8"/>
        <v>Ja</v>
      </c>
      <c r="F32" s="340">
        <v>3097</v>
      </c>
      <c r="G32" s="66">
        <f>+F32*(1+$L$2)</f>
        <v>3394.3120000000004</v>
      </c>
      <c r="H32" s="100">
        <f t="shared" si="9"/>
        <v>0</v>
      </c>
      <c r="I32" s="66">
        <f t="shared" si="10"/>
        <v>0</v>
      </c>
      <c r="J32" s="66">
        <f t="shared" si="10"/>
        <v>0</v>
      </c>
      <c r="K32" s="66">
        <f t="shared" si="10"/>
        <v>0</v>
      </c>
      <c r="L32" s="66">
        <f t="shared" si="10"/>
        <v>0</v>
      </c>
      <c r="M32" s="66">
        <f t="shared" si="10"/>
        <v>0</v>
      </c>
      <c r="N32" s="66">
        <f t="shared" si="10"/>
        <v>0</v>
      </c>
      <c r="O32" s="66">
        <f t="shared" si="10"/>
        <v>0</v>
      </c>
      <c r="P32" s="66">
        <f t="shared" si="10"/>
        <v>0</v>
      </c>
      <c r="Q32" s="66">
        <f t="shared" si="10"/>
        <v>3394.3120000000004</v>
      </c>
      <c r="R32" s="66">
        <f t="shared" si="10"/>
        <v>0</v>
      </c>
      <c r="S32" s="66">
        <f t="shared" si="10"/>
        <v>0</v>
      </c>
      <c r="T32" s="66">
        <f t="shared" si="10"/>
        <v>0</v>
      </c>
      <c r="U32" s="66">
        <f t="shared" si="10"/>
        <v>0</v>
      </c>
      <c r="V32" s="66">
        <f t="shared" si="10"/>
        <v>0</v>
      </c>
      <c r="W32" s="66">
        <f t="shared" si="10"/>
        <v>0</v>
      </c>
      <c r="X32" s="66">
        <f t="shared" si="10"/>
        <v>0</v>
      </c>
      <c r="Y32" s="66">
        <f t="shared" si="10"/>
        <v>0</v>
      </c>
      <c r="Z32" s="66">
        <f t="shared" si="10"/>
        <v>0</v>
      </c>
      <c r="AA32" s="189">
        <f>+Q32</f>
        <v>3394.3120000000004</v>
      </c>
      <c r="AB32" s="66"/>
    </row>
    <row r="33" spans="1:28" x14ac:dyDescent="0.25">
      <c r="A33" s="289" t="s">
        <v>356</v>
      </c>
      <c r="B33" s="96"/>
      <c r="E33" s="96"/>
      <c r="F33" s="66"/>
      <c r="H33" s="100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189"/>
      <c r="AB33" s="66"/>
    </row>
    <row r="34" spans="1:28" x14ac:dyDescent="0.25">
      <c r="A34" s="134" t="s">
        <v>317</v>
      </c>
      <c r="B34" s="96"/>
      <c r="C34">
        <v>10</v>
      </c>
      <c r="D34">
        <v>2027</v>
      </c>
      <c r="E34" s="96" t="str">
        <f t="shared" si="8"/>
        <v>Ja</v>
      </c>
      <c r="F34" s="66">
        <v>40017</v>
      </c>
      <c r="G34" s="66">
        <f>+F34*(1+$L$2)</f>
        <v>43858.632000000005</v>
      </c>
      <c r="H34" s="100">
        <f t="shared" si="9"/>
        <v>0</v>
      </c>
      <c r="I34" s="66">
        <f t="shared" ref="I34:AA42" si="11">IF(+I$4=$D34,+$G34,0)</f>
        <v>0</v>
      </c>
      <c r="J34" s="66">
        <f t="shared" si="11"/>
        <v>43858.632000000005</v>
      </c>
      <c r="K34" s="66">
        <f t="shared" si="11"/>
        <v>0</v>
      </c>
      <c r="L34" s="66">
        <f t="shared" si="11"/>
        <v>0</v>
      </c>
      <c r="M34" s="66">
        <f t="shared" si="11"/>
        <v>0</v>
      </c>
      <c r="N34" s="66">
        <f t="shared" si="11"/>
        <v>0</v>
      </c>
      <c r="O34" s="66">
        <f t="shared" si="11"/>
        <v>0</v>
      </c>
      <c r="P34" s="66">
        <f t="shared" si="11"/>
        <v>0</v>
      </c>
      <c r="Q34" s="66">
        <f t="shared" si="11"/>
        <v>0</v>
      </c>
      <c r="R34" s="66">
        <f t="shared" si="11"/>
        <v>0</v>
      </c>
      <c r="S34" s="66">
        <f t="shared" si="11"/>
        <v>0</v>
      </c>
      <c r="T34" s="66">
        <f>+J34</f>
        <v>43858.632000000005</v>
      </c>
      <c r="U34" s="66">
        <f t="shared" si="11"/>
        <v>0</v>
      </c>
      <c r="V34" s="66">
        <f t="shared" si="11"/>
        <v>0</v>
      </c>
      <c r="W34" s="66">
        <f t="shared" si="11"/>
        <v>0</v>
      </c>
      <c r="X34" s="66">
        <f t="shared" si="11"/>
        <v>0</v>
      </c>
      <c r="Y34" s="66">
        <f t="shared" si="11"/>
        <v>0</v>
      </c>
      <c r="Z34" s="66">
        <f t="shared" si="11"/>
        <v>0</v>
      </c>
      <c r="AA34" s="189">
        <f t="shared" si="11"/>
        <v>0</v>
      </c>
      <c r="AB34" s="66"/>
    </row>
    <row r="35" spans="1:28" x14ac:dyDescent="0.25">
      <c r="A35" s="134" t="s">
        <v>318</v>
      </c>
      <c r="B35" s="96"/>
      <c r="C35">
        <v>15</v>
      </c>
      <c r="D35">
        <v>2031</v>
      </c>
      <c r="E35" s="96" t="str">
        <f t="shared" si="8"/>
        <v>-</v>
      </c>
      <c r="F35" s="66">
        <v>17822</v>
      </c>
      <c r="G35" s="66">
        <f>+F35*(1+$L$2)</f>
        <v>19532.912</v>
      </c>
      <c r="H35" s="100">
        <f>IF(+H$4=$D35,+$G35,0)</f>
        <v>0</v>
      </c>
      <c r="I35" s="66">
        <f t="shared" si="11"/>
        <v>0</v>
      </c>
      <c r="J35" s="66">
        <f t="shared" si="11"/>
        <v>0</v>
      </c>
      <c r="K35" s="66">
        <f t="shared" si="11"/>
        <v>0</v>
      </c>
      <c r="L35" s="66">
        <f t="shared" si="11"/>
        <v>0</v>
      </c>
      <c r="M35" s="66">
        <f t="shared" si="11"/>
        <v>0</v>
      </c>
      <c r="N35" s="66">
        <f t="shared" si="11"/>
        <v>19532.912</v>
      </c>
      <c r="O35" s="66">
        <f t="shared" si="11"/>
        <v>0</v>
      </c>
      <c r="P35" s="66">
        <f t="shared" si="11"/>
        <v>0</v>
      </c>
      <c r="Q35" s="66">
        <f t="shared" si="11"/>
        <v>0</v>
      </c>
      <c r="R35" s="66">
        <f t="shared" si="11"/>
        <v>0</v>
      </c>
      <c r="S35" s="66">
        <f t="shared" si="11"/>
        <v>0</v>
      </c>
      <c r="T35" s="66">
        <f t="shared" si="11"/>
        <v>0</v>
      </c>
      <c r="U35" s="66">
        <f t="shared" si="11"/>
        <v>0</v>
      </c>
      <c r="V35" s="66">
        <f t="shared" si="11"/>
        <v>0</v>
      </c>
      <c r="W35" s="66">
        <f t="shared" si="11"/>
        <v>0</v>
      </c>
      <c r="X35" s="66">
        <f t="shared" si="11"/>
        <v>0</v>
      </c>
      <c r="Y35" s="66">
        <f t="shared" si="11"/>
        <v>0</v>
      </c>
      <c r="Z35" s="66">
        <f t="shared" si="11"/>
        <v>0</v>
      </c>
      <c r="AA35" s="189">
        <f t="shared" si="11"/>
        <v>0</v>
      </c>
      <c r="AB35" s="66"/>
    </row>
    <row r="36" spans="1:28" x14ac:dyDescent="0.25">
      <c r="A36" s="134" t="s">
        <v>319</v>
      </c>
      <c r="B36" s="96"/>
      <c r="C36">
        <v>20</v>
      </c>
      <c r="D36">
        <v>2036</v>
      </c>
      <c r="E36" s="96" t="str">
        <f t="shared" si="8"/>
        <v>-</v>
      </c>
      <c r="F36" s="66">
        <v>47969</v>
      </c>
      <c r="G36" s="66">
        <f>+F36*(1+$L$2)</f>
        <v>52574.024000000005</v>
      </c>
      <c r="H36" s="100">
        <f t="shared" si="9"/>
        <v>0</v>
      </c>
      <c r="I36" s="66">
        <f t="shared" si="11"/>
        <v>0</v>
      </c>
      <c r="J36" s="66">
        <f t="shared" si="11"/>
        <v>0</v>
      </c>
      <c r="K36" s="66">
        <f t="shared" si="11"/>
        <v>0</v>
      </c>
      <c r="L36" s="66">
        <f t="shared" si="11"/>
        <v>0</v>
      </c>
      <c r="M36" s="66">
        <f t="shared" si="11"/>
        <v>0</v>
      </c>
      <c r="N36" s="66">
        <f t="shared" si="11"/>
        <v>0</v>
      </c>
      <c r="O36" s="66">
        <f t="shared" si="11"/>
        <v>0</v>
      </c>
      <c r="P36" s="66">
        <f t="shared" si="11"/>
        <v>0</v>
      </c>
      <c r="Q36" s="66">
        <f t="shared" si="11"/>
        <v>0</v>
      </c>
      <c r="R36" s="66">
        <f t="shared" si="11"/>
        <v>0</v>
      </c>
      <c r="S36" s="66">
        <f t="shared" si="11"/>
        <v>52574.024000000005</v>
      </c>
      <c r="T36" s="66">
        <f t="shared" si="11"/>
        <v>0</v>
      </c>
      <c r="U36" s="66">
        <f t="shared" si="11"/>
        <v>0</v>
      </c>
      <c r="V36" s="66">
        <f t="shared" si="11"/>
        <v>0</v>
      </c>
      <c r="W36" s="66">
        <f t="shared" si="11"/>
        <v>0</v>
      </c>
      <c r="X36" s="66">
        <f t="shared" si="11"/>
        <v>0</v>
      </c>
      <c r="Y36" s="66">
        <f t="shared" si="11"/>
        <v>0</v>
      </c>
      <c r="Z36" s="66">
        <f t="shared" si="11"/>
        <v>0</v>
      </c>
      <c r="AA36" s="189">
        <f t="shared" si="11"/>
        <v>0</v>
      </c>
      <c r="AB36" s="66"/>
    </row>
    <row r="37" spans="1:28" ht="15.75" thickBot="1" x14ac:dyDescent="0.3">
      <c r="A37" s="75" t="s">
        <v>320</v>
      </c>
      <c r="B37" s="278"/>
      <c r="C37" s="76">
        <v>25</v>
      </c>
      <c r="D37" s="76">
        <v>2041</v>
      </c>
      <c r="E37" s="278" t="str">
        <f t="shared" si="8"/>
        <v>-</v>
      </c>
      <c r="F37" s="78">
        <v>56973</v>
      </c>
      <c r="G37" s="78">
        <f>+F37*(1+$L$2)</f>
        <v>62442.408000000003</v>
      </c>
      <c r="H37" s="116">
        <f t="shared" si="9"/>
        <v>0</v>
      </c>
      <c r="I37" s="78">
        <f t="shared" si="11"/>
        <v>0</v>
      </c>
      <c r="J37" s="78">
        <f t="shared" si="11"/>
        <v>0</v>
      </c>
      <c r="K37" s="78">
        <f t="shared" si="11"/>
        <v>0</v>
      </c>
      <c r="L37" s="78">
        <f t="shared" si="11"/>
        <v>0</v>
      </c>
      <c r="M37" s="78">
        <f t="shared" si="11"/>
        <v>0</v>
      </c>
      <c r="N37" s="78">
        <f t="shared" si="11"/>
        <v>0</v>
      </c>
      <c r="O37" s="78">
        <f t="shared" si="11"/>
        <v>0</v>
      </c>
      <c r="P37" s="78">
        <f t="shared" si="11"/>
        <v>0</v>
      </c>
      <c r="Q37" s="78">
        <f t="shared" si="11"/>
        <v>0</v>
      </c>
      <c r="R37" s="78">
        <f t="shared" si="11"/>
        <v>0</v>
      </c>
      <c r="S37" s="78">
        <f t="shared" si="11"/>
        <v>0</v>
      </c>
      <c r="T37" s="78">
        <f t="shared" si="11"/>
        <v>0</v>
      </c>
      <c r="U37" s="78">
        <f t="shared" si="11"/>
        <v>0</v>
      </c>
      <c r="V37" s="78">
        <f t="shared" si="11"/>
        <v>0</v>
      </c>
      <c r="W37" s="78">
        <f t="shared" si="11"/>
        <v>0</v>
      </c>
      <c r="X37" s="78">
        <f t="shared" si="11"/>
        <v>62442.408000000003</v>
      </c>
      <c r="Y37" s="78">
        <f t="shared" si="11"/>
        <v>0</v>
      </c>
      <c r="Z37" s="78">
        <f t="shared" si="11"/>
        <v>0</v>
      </c>
      <c r="AA37" s="80">
        <f t="shared" si="11"/>
        <v>0</v>
      </c>
      <c r="AB37" s="66"/>
    </row>
    <row r="38" spans="1:28" s="229" customFormat="1" x14ac:dyDescent="0.25">
      <c r="F38" s="282"/>
      <c r="G38" s="282"/>
      <c r="H38" s="282">
        <f t="shared" ref="H38:AA38" si="12">SUM(H22:H37)</f>
        <v>0</v>
      </c>
      <c r="I38" s="282">
        <f t="shared" si="12"/>
        <v>0</v>
      </c>
      <c r="J38" s="282">
        <f t="shared" si="12"/>
        <v>47126.904000000002</v>
      </c>
      <c r="K38" s="282">
        <f t="shared" si="12"/>
        <v>0</v>
      </c>
      <c r="L38" s="282">
        <f t="shared" si="12"/>
        <v>0</v>
      </c>
      <c r="M38" s="282">
        <f t="shared" si="12"/>
        <v>0</v>
      </c>
      <c r="N38" s="282">
        <f t="shared" si="12"/>
        <v>37659.656000000003</v>
      </c>
      <c r="O38" s="282">
        <f t="shared" si="12"/>
        <v>1916.9040000000002</v>
      </c>
      <c r="P38" s="282">
        <f t="shared" si="12"/>
        <v>0</v>
      </c>
      <c r="Q38" s="282">
        <f t="shared" si="12"/>
        <v>3394.3120000000004</v>
      </c>
      <c r="R38" s="282">
        <f t="shared" si="12"/>
        <v>0</v>
      </c>
      <c r="S38" s="282">
        <f t="shared" si="12"/>
        <v>52574.024000000005</v>
      </c>
      <c r="T38" s="282">
        <f t="shared" si="12"/>
        <v>76084.320000000007</v>
      </c>
      <c r="U38" s="282">
        <f t="shared" si="12"/>
        <v>0</v>
      </c>
      <c r="V38" s="282">
        <f t="shared" si="12"/>
        <v>0</v>
      </c>
      <c r="W38" s="282">
        <f t="shared" si="12"/>
        <v>0</v>
      </c>
      <c r="X38" s="282">
        <f t="shared" si="12"/>
        <v>62442.408000000003</v>
      </c>
      <c r="Y38" s="282">
        <f t="shared" si="12"/>
        <v>38583.584000000003</v>
      </c>
      <c r="Z38" s="282">
        <f t="shared" si="12"/>
        <v>0</v>
      </c>
      <c r="AA38" s="282">
        <f t="shared" si="12"/>
        <v>3394.3120000000004</v>
      </c>
      <c r="AB38" s="282">
        <f>SUM(H38:AA38)</f>
        <v>323176.42399999994</v>
      </c>
    </row>
    <row r="39" spans="1:28" s="229" customFormat="1" ht="15.75" thickBot="1" x14ac:dyDescent="0.3"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</row>
    <row r="40" spans="1:28" ht="15.75" thickBot="1" x14ac:dyDescent="0.3">
      <c r="A40" s="296" t="s">
        <v>357</v>
      </c>
      <c r="B40" s="293"/>
      <c r="C40" s="293"/>
      <c r="D40" s="293"/>
      <c r="E40" s="297"/>
      <c r="F40" s="297"/>
      <c r="G40" s="297"/>
      <c r="H40" s="301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8"/>
      <c r="AB40" s="66"/>
    </row>
    <row r="41" spans="1:28" x14ac:dyDescent="0.25">
      <c r="A41" s="228" t="s">
        <v>381</v>
      </c>
      <c r="B41" s="68"/>
      <c r="C41" s="68">
        <v>10</v>
      </c>
      <c r="D41" s="68">
        <v>2030</v>
      </c>
      <c r="E41" s="277" t="str">
        <f t="shared" ref="E41:E42" si="13">IF((D41+C41)&lt;($AA$4+1),"Ja","-")</f>
        <v>Ja</v>
      </c>
      <c r="F41" s="71">
        <v>7000</v>
      </c>
      <c r="G41" s="71">
        <f>+F41*(1+$L$2)</f>
        <v>7672.0000000000009</v>
      </c>
      <c r="H41" s="300">
        <f t="shared" si="9"/>
        <v>0</v>
      </c>
      <c r="I41" s="71">
        <f t="shared" si="11"/>
        <v>0</v>
      </c>
      <c r="J41" s="71">
        <f t="shared" si="11"/>
        <v>0</v>
      </c>
      <c r="K41" s="71">
        <f t="shared" si="11"/>
        <v>0</v>
      </c>
      <c r="L41" s="71">
        <f t="shared" si="11"/>
        <v>0</v>
      </c>
      <c r="M41" s="71">
        <f t="shared" si="11"/>
        <v>7672.0000000000009</v>
      </c>
      <c r="N41" s="71">
        <f t="shared" si="11"/>
        <v>0</v>
      </c>
      <c r="O41" s="71">
        <f t="shared" si="11"/>
        <v>0</v>
      </c>
      <c r="P41" s="71">
        <f t="shared" si="11"/>
        <v>0</v>
      </c>
      <c r="Q41" s="71">
        <f t="shared" si="11"/>
        <v>0</v>
      </c>
      <c r="R41" s="71">
        <f t="shared" si="11"/>
        <v>0</v>
      </c>
      <c r="S41" s="71">
        <f t="shared" si="11"/>
        <v>0</v>
      </c>
      <c r="T41" s="71">
        <f t="shared" si="11"/>
        <v>0</v>
      </c>
      <c r="U41" s="71">
        <f t="shared" si="11"/>
        <v>0</v>
      </c>
      <c r="V41" s="71">
        <f t="shared" si="11"/>
        <v>0</v>
      </c>
      <c r="W41" s="71">
        <f t="shared" si="11"/>
        <v>0</v>
      </c>
      <c r="X41" s="71">
        <f t="shared" si="11"/>
        <v>0</v>
      </c>
      <c r="Y41" s="71">
        <f t="shared" si="11"/>
        <v>0</v>
      </c>
      <c r="Z41" s="71">
        <f t="shared" si="11"/>
        <v>0</v>
      </c>
      <c r="AA41" s="276">
        <f t="shared" si="11"/>
        <v>0</v>
      </c>
      <c r="AB41" s="66"/>
    </row>
    <row r="42" spans="1:28" ht="15.75" thickBot="1" x14ac:dyDescent="0.3">
      <c r="A42" s="75" t="s">
        <v>344</v>
      </c>
      <c r="B42" s="76"/>
      <c r="C42" s="76">
        <v>20</v>
      </c>
      <c r="D42" s="76">
        <v>2037</v>
      </c>
      <c r="E42" s="278" t="str">
        <f t="shared" si="13"/>
        <v>-</v>
      </c>
      <c r="F42" s="78">
        <v>32368</v>
      </c>
      <c r="G42" s="78">
        <f>+F42*(1+$L$2)</f>
        <v>35475.328000000001</v>
      </c>
      <c r="H42" s="116">
        <f t="shared" si="9"/>
        <v>0</v>
      </c>
      <c r="I42" s="78">
        <f t="shared" si="11"/>
        <v>0</v>
      </c>
      <c r="J42" s="78">
        <f t="shared" si="11"/>
        <v>0</v>
      </c>
      <c r="K42" s="78">
        <f t="shared" si="11"/>
        <v>0</v>
      </c>
      <c r="L42" s="78">
        <f t="shared" si="11"/>
        <v>0</v>
      </c>
      <c r="M42" s="78">
        <f t="shared" si="11"/>
        <v>0</v>
      </c>
      <c r="N42" s="78">
        <f t="shared" si="11"/>
        <v>0</v>
      </c>
      <c r="O42" s="78">
        <f t="shared" si="11"/>
        <v>0</v>
      </c>
      <c r="P42" s="78">
        <f t="shared" si="11"/>
        <v>0</v>
      </c>
      <c r="Q42" s="78">
        <f t="shared" si="11"/>
        <v>0</v>
      </c>
      <c r="R42" s="78">
        <f t="shared" si="11"/>
        <v>0</v>
      </c>
      <c r="S42" s="78">
        <f t="shared" si="11"/>
        <v>0</v>
      </c>
      <c r="T42" s="78">
        <f t="shared" si="11"/>
        <v>35475.328000000001</v>
      </c>
      <c r="U42" s="78">
        <f t="shared" si="11"/>
        <v>0</v>
      </c>
      <c r="V42" s="78">
        <f t="shared" si="11"/>
        <v>0</v>
      </c>
      <c r="W42" s="78">
        <f t="shared" si="11"/>
        <v>0</v>
      </c>
      <c r="X42" s="78">
        <f t="shared" si="11"/>
        <v>0</v>
      </c>
      <c r="Y42" s="78">
        <f t="shared" si="11"/>
        <v>0</v>
      </c>
      <c r="Z42" s="78">
        <f t="shared" si="11"/>
        <v>0</v>
      </c>
      <c r="AA42" s="80">
        <f t="shared" si="11"/>
        <v>0</v>
      </c>
      <c r="AB42" s="66"/>
    </row>
    <row r="43" spans="1:28" x14ac:dyDescent="0.25">
      <c r="F43" s="66"/>
      <c r="H43" s="282">
        <f>SUM(H41:H42)</f>
        <v>0</v>
      </c>
      <c r="I43" s="282">
        <f t="shared" ref="I43:AA43" si="14">SUM(I41:I42)</f>
        <v>0</v>
      </c>
      <c r="J43" s="282">
        <f t="shared" si="14"/>
        <v>0</v>
      </c>
      <c r="K43" s="282">
        <f t="shared" si="14"/>
        <v>0</v>
      </c>
      <c r="L43" s="282">
        <f t="shared" si="14"/>
        <v>0</v>
      </c>
      <c r="M43" s="282">
        <f t="shared" si="14"/>
        <v>7672.0000000000009</v>
      </c>
      <c r="N43" s="282">
        <f t="shared" si="14"/>
        <v>0</v>
      </c>
      <c r="O43" s="282">
        <f t="shared" si="14"/>
        <v>0</v>
      </c>
      <c r="P43" s="282">
        <f t="shared" si="14"/>
        <v>0</v>
      </c>
      <c r="Q43" s="282">
        <f t="shared" si="14"/>
        <v>0</v>
      </c>
      <c r="R43" s="282">
        <f t="shared" si="14"/>
        <v>0</v>
      </c>
      <c r="S43" s="282">
        <f t="shared" si="14"/>
        <v>0</v>
      </c>
      <c r="T43" s="282">
        <f t="shared" si="14"/>
        <v>35475.328000000001</v>
      </c>
      <c r="U43" s="282">
        <f t="shared" si="14"/>
        <v>0</v>
      </c>
      <c r="V43" s="282">
        <f t="shared" si="14"/>
        <v>0</v>
      </c>
      <c r="W43" s="282">
        <f t="shared" si="14"/>
        <v>0</v>
      </c>
      <c r="X43" s="282">
        <f t="shared" si="14"/>
        <v>0</v>
      </c>
      <c r="Y43" s="282">
        <f t="shared" si="14"/>
        <v>0</v>
      </c>
      <c r="Z43" s="282">
        <f t="shared" si="14"/>
        <v>0</v>
      </c>
      <c r="AA43" s="282">
        <f t="shared" si="14"/>
        <v>0</v>
      </c>
      <c r="AB43" s="66">
        <f>SUM(H43:AA43)</f>
        <v>43147.328000000001</v>
      </c>
    </row>
    <row r="44" spans="1:28" ht="15.75" thickBot="1" x14ac:dyDescent="0.3">
      <c r="F44" s="66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2"/>
      <c r="Y44" s="282"/>
      <c r="Z44" s="282"/>
      <c r="AA44" s="282"/>
      <c r="AB44" s="66"/>
    </row>
    <row r="45" spans="1:28" ht="15.75" thickBot="1" x14ac:dyDescent="0.3">
      <c r="A45" s="296" t="s">
        <v>171</v>
      </c>
      <c r="B45" s="293"/>
      <c r="C45" s="293"/>
      <c r="D45" s="293"/>
      <c r="E45" s="293"/>
      <c r="F45" s="297"/>
      <c r="G45" s="297"/>
      <c r="H45" s="301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  <c r="AB45" s="66"/>
    </row>
    <row r="46" spans="1:28" x14ac:dyDescent="0.25">
      <c r="A46" s="291" t="s">
        <v>359</v>
      </c>
      <c r="B46" s="68"/>
      <c r="C46" s="68"/>
      <c r="D46" s="68"/>
      <c r="E46" s="68"/>
      <c r="F46" s="71"/>
      <c r="G46" s="71"/>
      <c r="H46" s="300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276"/>
      <c r="AB46" s="66"/>
    </row>
    <row r="47" spans="1:28" x14ac:dyDescent="0.25">
      <c r="A47" s="134" t="s">
        <v>351</v>
      </c>
      <c r="C47">
        <v>6</v>
      </c>
      <c r="D47">
        <v>2025</v>
      </c>
      <c r="E47" s="96" t="str">
        <f t="shared" ref="E47:E54" si="15">IF((D47+C47)&lt;($AA$4+1),"Ja","-")</f>
        <v>Ja</v>
      </c>
      <c r="F47" s="341">
        <v>2085</v>
      </c>
      <c r="G47" s="66">
        <f>+F47*(1+$L$2)</f>
        <v>2285.1600000000003</v>
      </c>
      <c r="H47" s="100">
        <f t="shared" si="9"/>
        <v>2285.1600000000003</v>
      </c>
      <c r="I47" s="66">
        <f t="shared" ref="I47:AA51" si="16">IF(+I$4=$D47,+$G47,0)</f>
        <v>0</v>
      </c>
      <c r="J47" s="66">
        <f t="shared" si="16"/>
        <v>0</v>
      </c>
      <c r="K47" s="66">
        <f t="shared" si="16"/>
        <v>0</v>
      </c>
      <c r="L47" s="66">
        <f t="shared" si="16"/>
        <v>0</v>
      </c>
      <c r="M47" s="66">
        <f t="shared" si="16"/>
        <v>0</v>
      </c>
      <c r="N47" s="66">
        <f>+H47</f>
        <v>2285.1600000000003</v>
      </c>
      <c r="O47" s="66">
        <f t="shared" si="16"/>
        <v>0</v>
      </c>
      <c r="P47" s="66">
        <f t="shared" si="16"/>
        <v>0</v>
      </c>
      <c r="Q47" s="66">
        <f t="shared" si="16"/>
        <v>0</v>
      </c>
      <c r="R47" s="66">
        <f t="shared" si="16"/>
        <v>0</v>
      </c>
      <c r="S47" s="66">
        <f t="shared" si="16"/>
        <v>0</v>
      </c>
      <c r="T47" s="66">
        <f>+N47</f>
        <v>2285.1600000000003</v>
      </c>
      <c r="U47" s="66">
        <f t="shared" si="16"/>
        <v>0</v>
      </c>
      <c r="V47" s="66">
        <f t="shared" si="16"/>
        <v>0</v>
      </c>
      <c r="W47" s="66">
        <f t="shared" si="16"/>
        <v>0</v>
      </c>
      <c r="X47" s="66">
        <f t="shared" si="16"/>
        <v>0</v>
      </c>
      <c r="Y47" s="66">
        <f t="shared" si="16"/>
        <v>0</v>
      </c>
      <c r="Z47" s="66">
        <f>+T47</f>
        <v>2285.1600000000003</v>
      </c>
      <c r="AA47" s="189">
        <f t="shared" si="16"/>
        <v>0</v>
      </c>
      <c r="AB47" s="66"/>
    </row>
    <row r="48" spans="1:28" x14ac:dyDescent="0.25">
      <c r="A48" s="134" t="s">
        <v>352</v>
      </c>
      <c r="C48">
        <v>12</v>
      </c>
      <c r="D48">
        <v>2031</v>
      </c>
      <c r="E48" s="96" t="str">
        <f t="shared" si="15"/>
        <v>Ja</v>
      </c>
      <c r="F48" s="66">
        <v>5528</v>
      </c>
      <c r="G48" s="66">
        <f>+F48*(1+$L$2)</f>
        <v>6058.6880000000001</v>
      </c>
      <c r="H48" s="100">
        <f t="shared" si="9"/>
        <v>0</v>
      </c>
      <c r="I48" s="66">
        <f t="shared" si="16"/>
        <v>0</v>
      </c>
      <c r="J48" s="66">
        <f t="shared" si="16"/>
        <v>0</v>
      </c>
      <c r="K48" s="66">
        <f t="shared" si="16"/>
        <v>0</v>
      </c>
      <c r="L48" s="66">
        <f t="shared" si="16"/>
        <v>0</v>
      </c>
      <c r="M48" s="66">
        <f t="shared" si="16"/>
        <v>0</v>
      </c>
      <c r="N48" s="66">
        <f t="shared" si="16"/>
        <v>6058.6880000000001</v>
      </c>
      <c r="O48" s="66">
        <f t="shared" si="16"/>
        <v>0</v>
      </c>
      <c r="P48" s="66">
        <f t="shared" si="16"/>
        <v>0</v>
      </c>
      <c r="Q48" s="66">
        <f t="shared" si="16"/>
        <v>0</v>
      </c>
      <c r="R48" s="66">
        <f t="shared" si="16"/>
        <v>0</v>
      </c>
      <c r="S48" s="66">
        <f t="shared" si="16"/>
        <v>0</v>
      </c>
      <c r="T48" s="66">
        <f t="shared" si="16"/>
        <v>0</v>
      </c>
      <c r="U48" s="66">
        <f t="shared" si="16"/>
        <v>0</v>
      </c>
      <c r="V48" s="66">
        <f t="shared" si="16"/>
        <v>0</v>
      </c>
      <c r="W48" s="66">
        <f t="shared" si="16"/>
        <v>0</v>
      </c>
      <c r="X48" s="66">
        <f t="shared" si="16"/>
        <v>0</v>
      </c>
      <c r="Y48" s="66">
        <f t="shared" si="16"/>
        <v>0</v>
      </c>
      <c r="Z48" s="66">
        <f>+N48</f>
        <v>6058.6880000000001</v>
      </c>
      <c r="AA48" s="189">
        <f t="shared" si="16"/>
        <v>0</v>
      </c>
      <c r="AB48" s="66"/>
    </row>
    <row r="49" spans="1:28" x14ac:dyDescent="0.25">
      <c r="A49" s="289" t="s">
        <v>358</v>
      </c>
      <c r="E49" s="96"/>
      <c r="F49" s="66"/>
      <c r="H49" s="100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189"/>
      <c r="AB49" s="66"/>
    </row>
    <row r="50" spans="1:28" x14ac:dyDescent="0.25">
      <c r="A50" s="134" t="s">
        <v>346</v>
      </c>
      <c r="C50">
        <v>5</v>
      </c>
      <c r="D50">
        <v>2025</v>
      </c>
      <c r="E50" s="96" t="str">
        <f t="shared" si="15"/>
        <v>Ja</v>
      </c>
      <c r="F50" s="341">
        <v>6020</v>
      </c>
      <c r="G50" s="66">
        <f>+F50*(1+$L$2)</f>
        <v>6597.92</v>
      </c>
      <c r="H50" s="100">
        <f t="shared" si="9"/>
        <v>6597.92</v>
      </c>
      <c r="I50" s="66">
        <f t="shared" si="16"/>
        <v>0</v>
      </c>
      <c r="J50" s="66">
        <f t="shared" si="16"/>
        <v>0</v>
      </c>
      <c r="K50" s="66">
        <f t="shared" si="16"/>
        <v>0</v>
      </c>
      <c r="L50" s="66">
        <f t="shared" si="16"/>
        <v>0</v>
      </c>
      <c r="M50" s="66">
        <f>+H50</f>
        <v>6597.92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>+M50</f>
        <v>6597.92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>+H50</f>
        <v>6597.92</v>
      </c>
      <c r="X50" s="66">
        <f t="shared" si="16"/>
        <v>0</v>
      </c>
      <c r="Y50" s="66">
        <f t="shared" si="16"/>
        <v>0</v>
      </c>
      <c r="Z50" s="66">
        <f t="shared" si="16"/>
        <v>0</v>
      </c>
      <c r="AA50" s="189">
        <f t="shared" si="16"/>
        <v>0</v>
      </c>
      <c r="AB50" s="66"/>
    </row>
    <row r="51" spans="1:28" ht="15.75" customHeight="1" x14ac:dyDescent="0.25">
      <c r="A51" s="134" t="s">
        <v>348</v>
      </c>
      <c r="C51">
        <v>25</v>
      </c>
      <c r="D51">
        <v>2042</v>
      </c>
      <c r="E51" s="96" t="str">
        <f t="shared" si="15"/>
        <v>-</v>
      </c>
      <c r="F51" s="66">
        <v>9710</v>
      </c>
      <c r="G51" s="66">
        <f>+F51*(1+$L$2)</f>
        <v>10642.160000000002</v>
      </c>
      <c r="H51" s="100">
        <f t="shared" si="9"/>
        <v>0</v>
      </c>
      <c r="I51" s="66">
        <f t="shared" si="16"/>
        <v>0</v>
      </c>
      <c r="J51" s="66">
        <f t="shared" si="16"/>
        <v>0</v>
      </c>
      <c r="K51" s="66">
        <f t="shared" si="16"/>
        <v>0</v>
      </c>
      <c r="L51" s="66">
        <f t="shared" si="16"/>
        <v>0</v>
      </c>
      <c r="M51" s="66">
        <f t="shared" si="16"/>
        <v>0</v>
      </c>
      <c r="N51" s="66">
        <f t="shared" si="16"/>
        <v>0</v>
      </c>
      <c r="O51" s="66">
        <f t="shared" si="16"/>
        <v>0</v>
      </c>
      <c r="P51" s="66">
        <f t="shared" si="16"/>
        <v>0</v>
      </c>
      <c r="Q51" s="66">
        <f t="shared" si="16"/>
        <v>0</v>
      </c>
      <c r="R51" s="66">
        <f t="shared" si="16"/>
        <v>0</v>
      </c>
      <c r="S51" s="66">
        <f t="shared" si="16"/>
        <v>0</v>
      </c>
      <c r="T51" s="66">
        <f t="shared" si="16"/>
        <v>0</v>
      </c>
      <c r="U51" s="66">
        <f t="shared" si="16"/>
        <v>0</v>
      </c>
      <c r="V51" s="66">
        <f t="shared" si="16"/>
        <v>0</v>
      </c>
      <c r="W51" s="66">
        <f t="shared" si="16"/>
        <v>0</v>
      </c>
      <c r="X51" s="66">
        <f t="shared" si="16"/>
        <v>0</v>
      </c>
      <c r="Y51" s="66">
        <f t="shared" si="16"/>
        <v>10642.160000000002</v>
      </c>
      <c r="Z51" s="66">
        <f t="shared" si="16"/>
        <v>0</v>
      </c>
      <c r="AA51" s="189">
        <f t="shared" si="16"/>
        <v>0</v>
      </c>
      <c r="AB51" s="66"/>
    </row>
    <row r="52" spans="1:28" x14ac:dyDescent="0.25">
      <c r="A52" s="289" t="s">
        <v>353</v>
      </c>
      <c r="E52" s="96"/>
      <c r="F52" s="66"/>
      <c r="H52" s="100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189"/>
      <c r="AB52" s="66"/>
    </row>
    <row r="53" spans="1:28" x14ac:dyDescent="0.25">
      <c r="A53" s="134" t="s">
        <v>345</v>
      </c>
      <c r="B53">
        <v>2</v>
      </c>
      <c r="C53">
        <v>20</v>
      </c>
      <c r="D53">
        <v>2037</v>
      </c>
      <c r="E53" s="96" t="str">
        <f t="shared" si="15"/>
        <v>-</v>
      </c>
      <c r="F53" s="66">
        <v>18126</v>
      </c>
      <c r="G53" s="66">
        <f>+F53*(1+$L$2)</f>
        <v>19866.096000000001</v>
      </c>
      <c r="H53" s="100">
        <f t="shared" si="9"/>
        <v>0</v>
      </c>
      <c r="I53" s="66">
        <f t="shared" ref="I53:AA54" si="17">IF(+I$4=$D53,+$G53,0)</f>
        <v>0</v>
      </c>
      <c r="J53" s="66">
        <f t="shared" si="17"/>
        <v>0</v>
      </c>
      <c r="K53" s="66">
        <f t="shared" si="17"/>
        <v>0</v>
      </c>
      <c r="L53" s="66">
        <f t="shared" si="17"/>
        <v>0</v>
      </c>
      <c r="M53" s="66">
        <f t="shared" si="17"/>
        <v>0</v>
      </c>
      <c r="N53" s="66">
        <f t="shared" si="17"/>
        <v>0</v>
      </c>
      <c r="O53" s="66">
        <f t="shared" si="17"/>
        <v>0</v>
      </c>
      <c r="P53" s="66">
        <f t="shared" si="17"/>
        <v>0</v>
      </c>
      <c r="Q53" s="66">
        <f t="shared" si="17"/>
        <v>0</v>
      </c>
      <c r="R53" s="66">
        <f t="shared" si="17"/>
        <v>0</v>
      </c>
      <c r="S53" s="66">
        <f t="shared" si="17"/>
        <v>0</v>
      </c>
      <c r="T53" s="66">
        <f t="shared" si="17"/>
        <v>19866.096000000001</v>
      </c>
      <c r="U53" s="66">
        <f t="shared" si="17"/>
        <v>0</v>
      </c>
      <c r="V53" s="66">
        <f t="shared" si="17"/>
        <v>0</v>
      </c>
      <c r="W53" s="66">
        <f t="shared" si="17"/>
        <v>0</v>
      </c>
      <c r="X53" s="66">
        <f t="shared" si="17"/>
        <v>0</v>
      </c>
      <c r="Y53" s="66">
        <f t="shared" si="17"/>
        <v>0</v>
      </c>
      <c r="Z53" s="66">
        <f t="shared" si="17"/>
        <v>0</v>
      </c>
      <c r="AA53" s="189">
        <f t="shared" si="17"/>
        <v>0</v>
      </c>
      <c r="AB53" s="66"/>
    </row>
    <row r="54" spans="1:28" ht="15.75" thickBot="1" x14ac:dyDescent="0.3">
      <c r="A54" s="75" t="s">
        <v>100</v>
      </c>
      <c r="B54" s="76"/>
      <c r="C54" s="76">
        <v>15</v>
      </c>
      <c r="D54" s="76">
        <v>2031</v>
      </c>
      <c r="E54" s="278" t="str">
        <f t="shared" si="15"/>
        <v>-</v>
      </c>
      <c r="F54" s="342">
        <v>1353</v>
      </c>
      <c r="G54" s="312">
        <f>+F54*(1+$L$2)</f>
        <v>1482.8880000000001</v>
      </c>
      <c r="H54" s="116">
        <f t="shared" si="9"/>
        <v>0</v>
      </c>
      <c r="I54" s="78">
        <f t="shared" si="17"/>
        <v>0</v>
      </c>
      <c r="J54" s="78">
        <f t="shared" si="17"/>
        <v>0</v>
      </c>
      <c r="K54" s="78">
        <f t="shared" si="17"/>
        <v>0</v>
      </c>
      <c r="L54" s="78">
        <f t="shared" si="17"/>
        <v>0</v>
      </c>
      <c r="M54" s="78">
        <f t="shared" si="17"/>
        <v>0</v>
      </c>
      <c r="N54" s="78">
        <f t="shared" si="17"/>
        <v>1482.8880000000001</v>
      </c>
      <c r="O54" s="78">
        <f t="shared" si="17"/>
        <v>0</v>
      </c>
      <c r="P54" s="78">
        <f t="shared" si="17"/>
        <v>0</v>
      </c>
      <c r="Q54" s="78">
        <f t="shared" si="17"/>
        <v>0</v>
      </c>
      <c r="R54" s="78">
        <f t="shared" si="17"/>
        <v>0</v>
      </c>
      <c r="S54" s="78">
        <f t="shared" si="17"/>
        <v>0</v>
      </c>
      <c r="T54" s="78">
        <f t="shared" si="17"/>
        <v>0</v>
      </c>
      <c r="U54" s="78">
        <f t="shared" si="17"/>
        <v>0</v>
      </c>
      <c r="V54" s="78">
        <f t="shared" si="17"/>
        <v>0</v>
      </c>
      <c r="W54" s="78">
        <f t="shared" si="17"/>
        <v>0</v>
      </c>
      <c r="X54" s="78">
        <f t="shared" si="17"/>
        <v>0</v>
      </c>
      <c r="Y54" s="78">
        <f t="shared" si="17"/>
        <v>0</v>
      </c>
      <c r="Z54" s="78">
        <f t="shared" si="17"/>
        <v>0</v>
      </c>
      <c r="AA54" s="80">
        <f t="shared" si="17"/>
        <v>0</v>
      </c>
      <c r="AB54" s="66"/>
    </row>
    <row r="55" spans="1:28" x14ac:dyDescent="0.25">
      <c r="H55" s="282">
        <f>SUM(H47:H54)</f>
        <v>8883.08</v>
      </c>
      <c r="I55" s="282">
        <f t="shared" ref="I55:AA55" si="18">SUM(I47:I54)</f>
        <v>0</v>
      </c>
      <c r="J55" s="282">
        <f>SUM(J47:J54)</f>
        <v>0</v>
      </c>
      <c r="K55" s="282">
        <f t="shared" si="18"/>
        <v>0</v>
      </c>
      <c r="L55" s="282">
        <f t="shared" si="18"/>
        <v>0</v>
      </c>
      <c r="M55" s="282">
        <f t="shared" si="18"/>
        <v>6597.92</v>
      </c>
      <c r="N55" s="282">
        <f t="shared" si="18"/>
        <v>9826.7360000000008</v>
      </c>
      <c r="O55" s="282">
        <f t="shared" si="18"/>
        <v>0</v>
      </c>
      <c r="P55" s="282">
        <f t="shared" si="18"/>
        <v>0</v>
      </c>
      <c r="Q55" s="282">
        <f t="shared" si="18"/>
        <v>0</v>
      </c>
      <c r="R55" s="282">
        <f t="shared" si="18"/>
        <v>6597.92</v>
      </c>
      <c r="S55" s="282">
        <f t="shared" si="18"/>
        <v>0</v>
      </c>
      <c r="T55" s="282">
        <f t="shared" si="18"/>
        <v>22151.256000000001</v>
      </c>
      <c r="U55" s="282">
        <f t="shared" si="18"/>
        <v>0</v>
      </c>
      <c r="V55" s="282">
        <f t="shared" si="18"/>
        <v>0</v>
      </c>
      <c r="W55" s="282">
        <f t="shared" si="18"/>
        <v>6597.92</v>
      </c>
      <c r="X55" s="282">
        <f t="shared" si="18"/>
        <v>0</v>
      </c>
      <c r="Y55" s="282">
        <f t="shared" si="18"/>
        <v>10642.160000000002</v>
      </c>
      <c r="Z55" s="282">
        <f t="shared" si="18"/>
        <v>8343.848</v>
      </c>
      <c r="AA55" s="282">
        <f t="shared" si="18"/>
        <v>0</v>
      </c>
      <c r="AB55" s="66">
        <f>SUM(H55:AA55)</f>
        <v>79640.84</v>
      </c>
    </row>
    <row r="56" spans="1:28" x14ac:dyDescent="0.25"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>
        <f>SUM(AB18:AB55)</f>
        <v>571775.52799999993</v>
      </c>
    </row>
    <row r="57" spans="1:28" x14ac:dyDescent="0.25">
      <c r="A57" t="s">
        <v>378</v>
      </c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</row>
    <row r="58" spans="1:28" x14ac:dyDescent="0.25">
      <c r="A58" s="280" t="s">
        <v>331</v>
      </c>
      <c r="G58"/>
      <c r="H58" s="96"/>
      <c r="I58" s="9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1:28" x14ac:dyDescent="0.25">
      <c r="A59" s="280" t="s">
        <v>338</v>
      </c>
      <c r="G59"/>
      <c r="H59" s="96"/>
      <c r="I59" s="9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  <row r="60" spans="1:28" x14ac:dyDescent="0.25">
      <c r="A60" s="279" t="s">
        <v>350</v>
      </c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</row>
    <row r="61" spans="1:28" x14ac:dyDescent="0.25">
      <c r="A61" s="279" t="s">
        <v>347</v>
      </c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</row>
    <row r="62" spans="1:28" x14ac:dyDescent="0.25">
      <c r="A62" s="280" t="s">
        <v>349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</row>
    <row r="63" spans="1:28" x14ac:dyDescent="0.25">
      <c r="A63" s="280" t="s">
        <v>343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</row>
    <row r="64" spans="1:28" x14ac:dyDescent="0.25"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</row>
    <row r="65" spans="8:28" x14ac:dyDescent="0.25"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</row>
    <row r="66" spans="8:28" x14ac:dyDescent="0.25"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</row>
    <row r="67" spans="8:28" x14ac:dyDescent="0.25"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</row>
    <row r="68" spans="8:28" x14ac:dyDescent="0.25"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</row>
    <row r="69" spans="8:28" x14ac:dyDescent="0.25"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</row>
    <row r="70" spans="8:28" x14ac:dyDescent="0.25"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</row>
    <row r="71" spans="8:28" x14ac:dyDescent="0.25"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</row>
  </sheetData>
  <conditionalFormatting sqref="D7:D11">
    <cfRule type="cellIs" dxfId="10" priority="12" operator="lessThan">
      <formula>$H$4</formula>
    </cfRule>
  </conditionalFormatting>
  <conditionalFormatting sqref="D13:D17">
    <cfRule type="cellIs" dxfId="9" priority="11" operator="lessThan">
      <formula>$H$4</formula>
    </cfRule>
  </conditionalFormatting>
  <conditionalFormatting sqref="D22:D25">
    <cfRule type="cellIs" dxfId="8" priority="10" operator="lessThan">
      <formula>$H$4</formula>
    </cfRule>
  </conditionalFormatting>
  <conditionalFormatting sqref="D27:D29">
    <cfRule type="cellIs" dxfId="7" priority="9" operator="lessThan">
      <formula>$H$4</formula>
    </cfRule>
  </conditionalFormatting>
  <conditionalFormatting sqref="D31:D32">
    <cfRule type="cellIs" dxfId="6" priority="8" operator="lessThan">
      <formula>$H$4</formula>
    </cfRule>
  </conditionalFormatting>
  <conditionalFormatting sqref="D34:D37">
    <cfRule type="cellIs" dxfId="5" priority="7" operator="lessThan">
      <formula>$H$4</formula>
    </cfRule>
  </conditionalFormatting>
  <conditionalFormatting sqref="D41:D42">
    <cfRule type="cellIs" dxfId="4" priority="6" operator="lessThan">
      <formula>$H$4</formula>
    </cfRule>
  </conditionalFormatting>
  <conditionalFormatting sqref="D47:D48">
    <cfRule type="cellIs" dxfId="3" priority="5" operator="lessThan">
      <formula>$H$4</formula>
    </cfRule>
  </conditionalFormatting>
  <conditionalFormatting sqref="D50:D51">
    <cfRule type="cellIs" dxfId="2" priority="4" operator="lessThan">
      <formula>$H$4</formula>
    </cfRule>
  </conditionalFormatting>
  <conditionalFormatting sqref="D53:D54">
    <cfRule type="cellIs" dxfId="1" priority="3" operator="lessThan">
      <formula>$H$4</formula>
    </cfRule>
  </conditionalFormatting>
  <conditionalFormatting sqref="E7:E54">
    <cfRule type="containsText" dxfId="0" priority="1" operator="containsText" text="Ja">
      <formula>NOT(ISERROR(SEARCH("Ja",E7)))</formula>
    </cfRule>
  </conditionalFormatting>
  <hyperlinks>
    <hyperlink ref="N1" r:id="rId1" display="https://www.cbs.nl/nl-nl/cijfers/detail/83887NED" xr:uid="{947924BB-BFEF-4059-A9F6-C3AC89E90B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74252-7378-4448-8B8F-1C8A24FAC903}">
  <dimension ref="A1:W43"/>
  <sheetViews>
    <sheetView tabSelected="1" topLeftCell="A4" zoomScale="85" zoomScaleNormal="85" workbookViewId="0">
      <selection activeCell="G7" sqref="G7"/>
    </sheetView>
  </sheetViews>
  <sheetFormatPr defaultRowHeight="15" x14ac:dyDescent="0.25"/>
  <cols>
    <col min="2" max="2" width="13.7109375" customWidth="1"/>
    <col min="5" max="5" width="10.140625" customWidth="1"/>
  </cols>
  <sheetData>
    <row r="1" spans="1:23" ht="18.75" x14ac:dyDescent="0.3">
      <c r="A1" s="230" t="s">
        <v>367</v>
      </c>
      <c r="M1" s="229" t="s">
        <v>377</v>
      </c>
    </row>
    <row r="2" spans="1:23" ht="15.75" thickBot="1" x14ac:dyDescent="0.3">
      <c r="M2" t="s">
        <v>376</v>
      </c>
    </row>
    <row r="3" spans="1:23" ht="19.5" thickBot="1" x14ac:dyDescent="0.35">
      <c r="A3" s="165"/>
      <c r="B3" s="166"/>
      <c r="C3" s="314" t="s">
        <v>368</v>
      </c>
      <c r="D3" s="314" t="s">
        <v>369</v>
      </c>
      <c r="E3" s="314" t="s">
        <v>370</v>
      </c>
      <c r="F3" s="315" t="s">
        <v>183</v>
      </c>
      <c r="G3" s="229"/>
      <c r="H3" s="313" t="s">
        <v>363</v>
      </c>
      <c r="I3" s="332">
        <v>0.03</v>
      </c>
    </row>
    <row r="4" spans="1:23" x14ac:dyDescent="0.25">
      <c r="A4" s="289" t="s">
        <v>161</v>
      </c>
      <c r="C4" s="330">
        <v>58480</v>
      </c>
      <c r="D4" s="330">
        <v>6345</v>
      </c>
      <c r="E4" s="318">
        <f>+C15</f>
        <v>5245.1790614065367</v>
      </c>
      <c r="F4" s="172">
        <f>+E4-D4</f>
        <v>-1099.8209385934633</v>
      </c>
    </row>
    <row r="5" spans="1:23" x14ac:dyDescent="0.25">
      <c r="A5" s="289" t="s">
        <v>169</v>
      </c>
      <c r="C5" s="330">
        <v>77804</v>
      </c>
      <c r="D5" s="330">
        <v>15499</v>
      </c>
      <c r="E5" s="318">
        <f>+C23</f>
        <v>13960.585005423058</v>
      </c>
      <c r="F5" s="172">
        <f>+E5-D5</f>
        <v>-1538.4149945769423</v>
      </c>
      <c r="H5" s="333" t="s">
        <v>379</v>
      </c>
      <c r="I5" s="275"/>
      <c r="Q5" s="327"/>
      <c r="R5" t="s">
        <v>373</v>
      </c>
    </row>
    <row r="6" spans="1:23" x14ac:dyDescent="0.25">
      <c r="A6" s="289" t="s">
        <v>364</v>
      </c>
      <c r="C6" s="330">
        <v>6472</v>
      </c>
      <c r="D6" s="330">
        <v>2256</v>
      </c>
      <c r="E6" s="318">
        <f>+C31</f>
        <v>2417.3095114572134</v>
      </c>
      <c r="F6" s="172">
        <f>+E6-D6</f>
        <v>161.30951145721338</v>
      </c>
      <c r="Q6" t="s">
        <v>372</v>
      </c>
      <c r="R6" t="s">
        <v>374</v>
      </c>
    </row>
    <row r="7" spans="1:23" x14ac:dyDescent="0.25">
      <c r="A7" s="316" t="s">
        <v>171</v>
      </c>
      <c r="B7" s="113"/>
      <c r="C7" s="331">
        <v>28189</v>
      </c>
      <c r="D7" s="331">
        <v>2662</v>
      </c>
      <c r="E7" s="105">
        <f>+C39</f>
        <v>3074.0180978139692</v>
      </c>
      <c r="F7" s="178">
        <f>+E7-D7</f>
        <v>412.01809781396923</v>
      </c>
      <c r="Q7" s="328"/>
      <c r="R7" t="s">
        <v>375</v>
      </c>
    </row>
    <row r="8" spans="1:23" ht="15.75" thickBot="1" x14ac:dyDescent="0.3">
      <c r="A8" s="75"/>
      <c r="B8" s="319" t="s">
        <v>38</v>
      </c>
      <c r="C8" s="116">
        <f>SUM(C4:C7)</f>
        <v>170945</v>
      </c>
      <c r="D8" s="116">
        <f>SUM(D4:D7)</f>
        <v>26762</v>
      </c>
      <c r="E8" s="116">
        <f>SUM(E4:E7)</f>
        <v>24697.091676100776</v>
      </c>
      <c r="F8" s="179">
        <f>SUM(F4:F7)</f>
        <v>-2064.908323899223</v>
      </c>
    </row>
    <row r="9" spans="1:23" x14ac:dyDescent="0.25">
      <c r="A9" s="134"/>
      <c r="B9" s="96"/>
    </row>
    <row r="10" spans="1:23" x14ac:dyDescent="0.25">
      <c r="A10" s="127"/>
      <c r="C10" s="309">
        <v>0</v>
      </c>
      <c r="D10" s="309">
        <f>+C10+1</f>
        <v>1</v>
      </c>
      <c r="E10" s="309">
        <f t="shared" ref="E10:V10" si="0">+D10+1</f>
        <v>2</v>
      </c>
      <c r="F10" s="309">
        <f t="shared" si="0"/>
        <v>3</v>
      </c>
      <c r="G10" s="309">
        <f t="shared" si="0"/>
        <v>4</v>
      </c>
      <c r="H10" s="309">
        <f t="shared" si="0"/>
        <v>5</v>
      </c>
      <c r="I10" s="309">
        <f t="shared" si="0"/>
        <v>6</v>
      </c>
      <c r="J10" s="309">
        <f t="shared" si="0"/>
        <v>7</v>
      </c>
      <c r="K10" s="309">
        <f t="shared" si="0"/>
        <v>8</v>
      </c>
      <c r="L10" s="309">
        <f t="shared" si="0"/>
        <v>9</v>
      </c>
      <c r="M10" s="309">
        <f t="shared" si="0"/>
        <v>10</v>
      </c>
      <c r="N10" s="309">
        <f t="shared" si="0"/>
        <v>11</v>
      </c>
      <c r="O10" s="309">
        <f t="shared" si="0"/>
        <v>12</v>
      </c>
      <c r="P10" s="309">
        <f t="shared" si="0"/>
        <v>13</v>
      </c>
      <c r="Q10" s="309">
        <f t="shared" si="0"/>
        <v>14</v>
      </c>
      <c r="R10" s="309">
        <f t="shared" si="0"/>
        <v>15</v>
      </c>
      <c r="S10" s="309">
        <f t="shared" si="0"/>
        <v>16</v>
      </c>
      <c r="T10" s="309">
        <f t="shared" si="0"/>
        <v>17</v>
      </c>
      <c r="U10" s="309">
        <f t="shared" si="0"/>
        <v>18</v>
      </c>
      <c r="V10" s="309">
        <f t="shared" si="0"/>
        <v>19</v>
      </c>
      <c r="W10" s="227"/>
    </row>
    <row r="11" spans="1:23" ht="15.75" thickBot="1" x14ac:dyDescent="0.3">
      <c r="A11" s="304" t="s">
        <v>161</v>
      </c>
      <c r="C11" s="229">
        <f>+'Uitgaven per fonds'!H4</f>
        <v>2025</v>
      </c>
      <c r="D11" s="229">
        <f>+C11+1</f>
        <v>2026</v>
      </c>
      <c r="E11" s="229">
        <f t="shared" ref="E11:V11" si="1">+D11+1</f>
        <v>2027</v>
      </c>
      <c r="F11" s="229">
        <f t="shared" si="1"/>
        <v>2028</v>
      </c>
      <c r="G11" s="229">
        <f t="shared" si="1"/>
        <v>2029</v>
      </c>
      <c r="H11" s="229">
        <f t="shared" si="1"/>
        <v>2030</v>
      </c>
      <c r="I11" s="229">
        <f t="shared" si="1"/>
        <v>2031</v>
      </c>
      <c r="J11" s="229">
        <f t="shared" si="1"/>
        <v>2032</v>
      </c>
      <c r="K11" s="229">
        <f t="shared" si="1"/>
        <v>2033</v>
      </c>
      <c r="L11" s="229">
        <f t="shared" si="1"/>
        <v>2034</v>
      </c>
      <c r="M11" s="229">
        <f t="shared" si="1"/>
        <v>2035</v>
      </c>
      <c r="N11" s="229">
        <f t="shared" si="1"/>
        <v>2036</v>
      </c>
      <c r="O11" s="229">
        <f t="shared" si="1"/>
        <v>2037</v>
      </c>
      <c r="P11" s="229">
        <f t="shared" si="1"/>
        <v>2038</v>
      </c>
      <c r="Q11" s="229">
        <f>+P11+1</f>
        <v>2039</v>
      </c>
      <c r="R11" s="229">
        <f t="shared" si="1"/>
        <v>2040</v>
      </c>
      <c r="S11" s="229">
        <f t="shared" si="1"/>
        <v>2041</v>
      </c>
      <c r="T11" s="229">
        <f t="shared" si="1"/>
        <v>2042</v>
      </c>
      <c r="U11" s="229">
        <f t="shared" si="1"/>
        <v>2043</v>
      </c>
      <c r="V11" s="229">
        <f t="shared" si="1"/>
        <v>2044</v>
      </c>
      <c r="W11" s="227"/>
    </row>
    <row r="12" spans="1:23" x14ac:dyDescent="0.25">
      <c r="A12" s="224" t="s">
        <v>362</v>
      </c>
      <c r="B12" s="68"/>
      <c r="C12" s="300">
        <f>+'Uitgaven per fonds'!H18</f>
        <v>3547.7520000000004</v>
      </c>
      <c r="D12" s="71">
        <f>+'Uitgaven per fonds'!I18</f>
        <v>0</v>
      </c>
      <c r="E12" s="71">
        <f>+'Uitgaven per fonds'!J18</f>
        <v>0</v>
      </c>
      <c r="F12" s="71">
        <f>+'Uitgaven per fonds'!K18</f>
        <v>0</v>
      </c>
      <c r="G12" s="71">
        <f>+'Uitgaven per fonds'!L18</f>
        <v>0</v>
      </c>
      <c r="H12" s="71">
        <f>+'Uitgaven per fonds'!M18</f>
        <v>0</v>
      </c>
      <c r="I12" s="71">
        <f>+'Uitgaven per fonds'!N18</f>
        <v>0</v>
      </c>
      <c r="J12" s="71">
        <f>+'Uitgaven per fonds'!O18</f>
        <v>6018.1360000000004</v>
      </c>
      <c r="K12" s="71">
        <f>+'Uitgaven per fonds'!P18</f>
        <v>0</v>
      </c>
      <c r="L12" s="71">
        <f>+'Uitgaven per fonds'!Q18</f>
        <v>9098.9920000000002</v>
      </c>
      <c r="M12" s="71">
        <f>+'Uitgaven per fonds'!R18</f>
        <v>0</v>
      </c>
      <c r="N12" s="71">
        <f>+'Uitgaven per fonds'!S18</f>
        <v>0</v>
      </c>
      <c r="O12" s="71">
        <f>+'Uitgaven per fonds'!T18</f>
        <v>0</v>
      </c>
      <c r="P12" s="71">
        <f>+'Uitgaven per fonds'!U18</f>
        <v>0</v>
      </c>
      <c r="Q12" s="71">
        <f>+'Uitgaven per fonds'!V18</f>
        <v>3547.7520000000004</v>
      </c>
      <c r="R12" s="71">
        <f>+'Uitgaven per fonds'!W18</f>
        <v>0</v>
      </c>
      <c r="S12" s="71">
        <f>+'Uitgaven per fonds'!X18</f>
        <v>0</v>
      </c>
      <c r="T12" s="71">
        <f>+'Uitgaven per fonds'!Y18</f>
        <v>103598.304</v>
      </c>
      <c r="U12" s="71">
        <f>+'Uitgaven per fonds'!Z18</f>
        <v>0</v>
      </c>
      <c r="V12" s="276">
        <f>+'Uitgaven per fonds'!AA18</f>
        <v>0</v>
      </c>
      <c r="W12" s="329"/>
    </row>
    <row r="13" spans="1:23" x14ac:dyDescent="0.25">
      <c r="A13" s="225" t="s">
        <v>196</v>
      </c>
      <c r="B13" s="113"/>
      <c r="C13" s="105">
        <f>+C12*(1+$I$3)^C$10</f>
        <v>3547.7520000000004</v>
      </c>
      <c r="D13" s="106">
        <f t="shared" ref="D13:V13" si="2">+D12*(1+$I$3)^D10</f>
        <v>0</v>
      </c>
      <c r="E13" s="106">
        <f t="shared" si="2"/>
        <v>0</v>
      </c>
      <c r="F13" s="106">
        <f t="shared" si="2"/>
        <v>0</v>
      </c>
      <c r="G13" s="106">
        <f t="shared" si="2"/>
        <v>0</v>
      </c>
      <c r="H13" s="106">
        <f t="shared" si="2"/>
        <v>0</v>
      </c>
      <c r="I13" s="106">
        <f t="shared" si="2"/>
        <v>0</v>
      </c>
      <c r="J13" s="106">
        <f t="shared" si="2"/>
        <v>7401.5481849725657</v>
      </c>
      <c r="K13" s="106">
        <f t="shared" si="2"/>
        <v>0</v>
      </c>
      <c r="L13" s="106">
        <f t="shared" si="2"/>
        <v>11872.120761476825</v>
      </c>
      <c r="M13" s="106">
        <f t="shared" si="2"/>
        <v>0</v>
      </c>
      <c r="N13" s="106">
        <f t="shared" si="2"/>
        <v>0</v>
      </c>
      <c r="O13" s="106">
        <f t="shared" si="2"/>
        <v>0</v>
      </c>
      <c r="P13" s="106">
        <f t="shared" si="2"/>
        <v>0</v>
      </c>
      <c r="Q13" s="106">
        <f t="shared" si="2"/>
        <v>5366.2932215341707</v>
      </c>
      <c r="R13" s="106">
        <f t="shared" si="2"/>
        <v>0</v>
      </c>
      <c r="S13" s="106">
        <f t="shared" si="2"/>
        <v>0</v>
      </c>
      <c r="T13" s="106">
        <f t="shared" si="2"/>
        <v>171232.21147376904</v>
      </c>
      <c r="U13" s="106">
        <f t="shared" si="2"/>
        <v>0</v>
      </c>
      <c r="V13" s="114">
        <f t="shared" si="2"/>
        <v>0</v>
      </c>
      <c r="W13" s="66"/>
    </row>
    <row r="14" spans="1:23" x14ac:dyDescent="0.25">
      <c r="A14" s="305" t="s">
        <v>164</v>
      </c>
      <c r="B14" s="306"/>
      <c r="C14" s="317">
        <f>+C4</f>
        <v>58480</v>
      </c>
      <c r="D14" s="307">
        <f t="shared" ref="D14:V14" si="3">+C17</f>
        <v>60177.427061406539</v>
      </c>
      <c r="E14" s="307">
        <f t="shared" si="3"/>
        <v>65579.961494655276</v>
      </c>
      <c r="F14" s="307">
        <f t="shared" si="3"/>
        <v>71144.571960901463</v>
      </c>
      <c r="G14" s="307">
        <f t="shared" si="3"/>
        <v>76876.120741135048</v>
      </c>
      <c r="H14" s="307">
        <f t="shared" si="3"/>
        <v>82779.615984775635</v>
      </c>
      <c r="I14" s="307">
        <f t="shared" si="3"/>
        <v>88860.216085725435</v>
      </c>
      <c r="J14" s="307">
        <f t="shared" si="3"/>
        <v>95123.23418970374</v>
      </c>
      <c r="K14" s="307">
        <f t="shared" si="3"/>
        <v>94172.594651828826</v>
      </c>
      <c r="L14" s="307">
        <f t="shared" si="3"/>
        <v>100817.03055833941</v>
      </c>
      <c r="M14" s="307">
        <f t="shared" si="3"/>
        <v>95788.678780568487</v>
      </c>
      <c r="N14" s="307">
        <f t="shared" si="3"/>
        <v>102837.76083378556</v>
      </c>
      <c r="O14" s="307">
        <f t="shared" si="3"/>
        <v>110098.31534859915</v>
      </c>
      <c r="P14" s="307">
        <f t="shared" si="3"/>
        <v>117576.68649885715</v>
      </c>
      <c r="Q14" s="307">
        <f t="shared" si="3"/>
        <v>125279.40878362287</v>
      </c>
      <c r="R14" s="307">
        <f t="shared" si="3"/>
        <v>127846.9195153974</v>
      </c>
      <c r="S14" s="307">
        <f t="shared" si="3"/>
        <v>136018.73758730537</v>
      </c>
      <c r="T14" s="307">
        <f t="shared" si="3"/>
        <v>144435.71020137056</v>
      </c>
      <c r="U14" s="307">
        <f t="shared" si="3"/>
        <v>-18127.019479911338</v>
      </c>
      <c r="V14" s="308">
        <f t="shared" si="3"/>
        <v>-9197.4532336495649</v>
      </c>
      <c r="W14" s="66"/>
    </row>
    <row r="15" spans="1:23" x14ac:dyDescent="0.25">
      <c r="A15" s="111" t="s">
        <v>165</v>
      </c>
      <c r="B15" s="122"/>
      <c r="C15" s="310">
        <v>5245.1790614065367</v>
      </c>
      <c r="D15" s="66">
        <f t="shared" ref="D15:V15" si="4">+$C15*(1+$I$3)^+D$10</f>
        <v>5402.534433248733</v>
      </c>
      <c r="E15" s="66">
        <f t="shared" si="4"/>
        <v>5564.6104662461948</v>
      </c>
      <c r="F15" s="66">
        <f t="shared" si="4"/>
        <v>5731.5487802335811</v>
      </c>
      <c r="G15" s="66">
        <f t="shared" si="4"/>
        <v>5903.4952436405874</v>
      </c>
      <c r="H15" s="66">
        <f t="shared" si="4"/>
        <v>6080.600100949805</v>
      </c>
      <c r="I15" s="66">
        <f t="shared" si="4"/>
        <v>6263.0181039782992</v>
      </c>
      <c r="J15" s="66">
        <f t="shared" si="4"/>
        <v>6450.908647097649</v>
      </c>
      <c r="K15" s="66">
        <f t="shared" si="4"/>
        <v>6644.4359065105773</v>
      </c>
      <c r="L15" s="66">
        <f t="shared" si="4"/>
        <v>6843.7689837058952</v>
      </c>
      <c r="M15" s="66">
        <f t="shared" si="4"/>
        <v>7049.0820532170719</v>
      </c>
      <c r="N15" s="66">
        <f t="shared" si="4"/>
        <v>7260.5545148135843</v>
      </c>
      <c r="O15" s="66">
        <f t="shared" si="4"/>
        <v>7478.3711502579908</v>
      </c>
      <c r="P15" s="66">
        <f t="shared" si="4"/>
        <v>7702.7222847657295</v>
      </c>
      <c r="Q15" s="66">
        <f t="shared" si="4"/>
        <v>7933.8039533087031</v>
      </c>
      <c r="R15" s="66">
        <f t="shared" si="4"/>
        <v>8171.8180719079646</v>
      </c>
      <c r="S15" s="66">
        <f t="shared" si="4"/>
        <v>8416.9726140652019</v>
      </c>
      <c r="T15" s="66">
        <f t="shared" si="4"/>
        <v>8669.4817924871586</v>
      </c>
      <c r="U15" s="66">
        <f t="shared" si="4"/>
        <v>8929.5662462617729</v>
      </c>
      <c r="V15" s="189">
        <f t="shared" si="4"/>
        <v>9197.453233649625</v>
      </c>
      <c r="W15" s="66"/>
    </row>
    <row r="16" spans="1:23" ht="15.75" thickBot="1" x14ac:dyDescent="0.3">
      <c r="A16" s="115" t="s">
        <v>166</v>
      </c>
      <c r="B16" s="195"/>
      <c r="C16" s="116">
        <f t="shared" ref="C16:V16" si="5">-C13</f>
        <v>-3547.7520000000004</v>
      </c>
      <c r="D16" s="78">
        <f t="shared" si="5"/>
        <v>0</v>
      </c>
      <c r="E16" s="78">
        <f t="shared" si="5"/>
        <v>0</v>
      </c>
      <c r="F16" s="78">
        <f t="shared" si="5"/>
        <v>0</v>
      </c>
      <c r="G16" s="78">
        <f t="shared" si="5"/>
        <v>0</v>
      </c>
      <c r="H16" s="78">
        <f t="shared" si="5"/>
        <v>0</v>
      </c>
      <c r="I16" s="78">
        <f t="shared" si="5"/>
        <v>0</v>
      </c>
      <c r="J16" s="78">
        <f t="shared" si="5"/>
        <v>-7401.5481849725657</v>
      </c>
      <c r="K16" s="78">
        <f t="shared" si="5"/>
        <v>0</v>
      </c>
      <c r="L16" s="78">
        <f t="shared" si="5"/>
        <v>-11872.120761476825</v>
      </c>
      <c r="M16" s="78">
        <f t="shared" si="5"/>
        <v>0</v>
      </c>
      <c r="N16" s="78">
        <f t="shared" si="5"/>
        <v>0</v>
      </c>
      <c r="O16" s="78">
        <f t="shared" si="5"/>
        <v>0</v>
      </c>
      <c r="P16" s="78">
        <f t="shared" si="5"/>
        <v>0</v>
      </c>
      <c r="Q16" s="78">
        <f t="shared" si="5"/>
        <v>-5366.2932215341707</v>
      </c>
      <c r="R16" s="78">
        <f t="shared" si="5"/>
        <v>0</v>
      </c>
      <c r="S16" s="78">
        <f t="shared" si="5"/>
        <v>0</v>
      </c>
      <c r="T16" s="78">
        <f t="shared" si="5"/>
        <v>-171232.21147376904</v>
      </c>
      <c r="U16" s="78">
        <f t="shared" si="5"/>
        <v>0</v>
      </c>
      <c r="V16" s="80">
        <f t="shared" si="5"/>
        <v>0</v>
      </c>
      <c r="W16" s="66"/>
    </row>
    <row r="17" spans="1:23" x14ac:dyDescent="0.25">
      <c r="B17" s="151" t="s">
        <v>167</v>
      </c>
      <c r="C17" s="66">
        <f t="shared" ref="C17:V17" si="6">SUM(C14:C16)</f>
        <v>60177.427061406539</v>
      </c>
      <c r="D17" s="66">
        <f t="shared" si="6"/>
        <v>65579.961494655276</v>
      </c>
      <c r="E17" s="66">
        <f t="shared" si="6"/>
        <v>71144.571960901463</v>
      </c>
      <c r="F17" s="66">
        <f t="shared" si="6"/>
        <v>76876.120741135048</v>
      </c>
      <c r="G17" s="66">
        <f t="shared" si="6"/>
        <v>82779.615984775635</v>
      </c>
      <c r="H17" s="66">
        <f t="shared" si="6"/>
        <v>88860.216085725435</v>
      </c>
      <c r="I17" s="66">
        <f t="shared" si="6"/>
        <v>95123.23418970374</v>
      </c>
      <c r="J17" s="66">
        <f t="shared" si="6"/>
        <v>94172.594651828826</v>
      </c>
      <c r="K17" s="66">
        <f t="shared" si="6"/>
        <v>100817.03055833941</v>
      </c>
      <c r="L17" s="66">
        <f t="shared" si="6"/>
        <v>95788.678780568487</v>
      </c>
      <c r="M17" s="66">
        <f t="shared" si="6"/>
        <v>102837.76083378556</v>
      </c>
      <c r="N17" s="66">
        <f t="shared" si="6"/>
        <v>110098.31534859915</v>
      </c>
      <c r="O17" s="66">
        <f t="shared" si="6"/>
        <v>117576.68649885715</v>
      </c>
      <c r="P17" s="66">
        <f t="shared" si="6"/>
        <v>125279.40878362287</v>
      </c>
      <c r="Q17" s="66">
        <f t="shared" si="6"/>
        <v>127846.9195153974</v>
      </c>
      <c r="R17" s="66">
        <f t="shared" si="6"/>
        <v>136018.73758730537</v>
      </c>
      <c r="S17" s="66">
        <f t="shared" si="6"/>
        <v>144435.71020137056</v>
      </c>
      <c r="T17" s="66">
        <f t="shared" si="6"/>
        <v>-18127.019479911338</v>
      </c>
      <c r="U17" s="66">
        <f t="shared" si="6"/>
        <v>-9197.4532336495649</v>
      </c>
      <c r="V17" s="326">
        <f t="shared" si="6"/>
        <v>6.0026650317013264E-11</v>
      </c>
      <c r="W17" s="66"/>
    </row>
    <row r="19" spans="1:23" ht="15.75" thickBot="1" x14ac:dyDescent="0.3">
      <c r="A19" s="304" t="s">
        <v>169</v>
      </c>
    </row>
    <row r="20" spans="1:23" x14ac:dyDescent="0.25">
      <c r="A20" s="224" t="s">
        <v>362</v>
      </c>
      <c r="B20" s="68"/>
      <c r="C20" s="300">
        <f>+'Uitgaven per fonds'!H38</f>
        <v>0</v>
      </c>
      <c r="D20" s="71">
        <f>+'Uitgaven per fonds'!I38</f>
        <v>0</v>
      </c>
      <c r="E20" s="71">
        <f>+'Uitgaven per fonds'!J38</f>
        <v>47126.904000000002</v>
      </c>
      <c r="F20" s="71">
        <f>+'Uitgaven per fonds'!K38</f>
        <v>0</v>
      </c>
      <c r="G20" s="71">
        <f>+'Uitgaven per fonds'!L38</f>
        <v>0</v>
      </c>
      <c r="H20" s="71">
        <f>+'Uitgaven per fonds'!M38</f>
        <v>0</v>
      </c>
      <c r="I20" s="71">
        <f>+'Uitgaven per fonds'!N38</f>
        <v>37659.656000000003</v>
      </c>
      <c r="J20" s="71">
        <f>+'Uitgaven per fonds'!O38</f>
        <v>1916.9040000000002</v>
      </c>
      <c r="K20" s="71">
        <f>+'Uitgaven per fonds'!P38</f>
        <v>0</v>
      </c>
      <c r="L20" s="71">
        <f>+'Uitgaven per fonds'!Q38</f>
        <v>3394.3120000000004</v>
      </c>
      <c r="M20" s="71">
        <f>+'Uitgaven per fonds'!R38</f>
        <v>0</v>
      </c>
      <c r="N20" s="71">
        <f>+'Uitgaven per fonds'!S38</f>
        <v>52574.024000000005</v>
      </c>
      <c r="O20" s="71">
        <f>+'Uitgaven per fonds'!T38</f>
        <v>76084.320000000007</v>
      </c>
      <c r="P20" s="71">
        <f>+'Uitgaven per fonds'!U38</f>
        <v>0</v>
      </c>
      <c r="Q20" s="71">
        <f>+'Uitgaven per fonds'!V38</f>
        <v>0</v>
      </c>
      <c r="R20" s="71">
        <f>+'Uitgaven per fonds'!W38</f>
        <v>0</v>
      </c>
      <c r="S20" s="71">
        <f>+'Uitgaven per fonds'!X38</f>
        <v>62442.408000000003</v>
      </c>
      <c r="T20" s="71">
        <f>+'Uitgaven per fonds'!Y38</f>
        <v>38583.584000000003</v>
      </c>
      <c r="U20" s="71">
        <f>+'Uitgaven per fonds'!Z38</f>
        <v>0</v>
      </c>
      <c r="V20" s="276">
        <f>+'Uitgaven per fonds'!AA38</f>
        <v>3394.3120000000004</v>
      </c>
    </row>
    <row r="21" spans="1:23" x14ac:dyDescent="0.25">
      <c r="A21" s="225" t="s">
        <v>196</v>
      </c>
      <c r="B21" s="113"/>
      <c r="C21" s="105">
        <f t="shared" ref="C21:V21" si="7">+C20*(1+$I$3)^C$10</f>
        <v>0</v>
      </c>
      <c r="D21" s="106">
        <f t="shared" si="7"/>
        <v>0</v>
      </c>
      <c r="E21" s="106">
        <f t="shared" si="7"/>
        <v>49996.932453599999</v>
      </c>
      <c r="F21" s="106">
        <f t="shared" si="7"/>
        <v>0</v>
      </c>
      <c r="G21" s="106">
        <f t="shared" si="7"/>
        <v>0</v>
      </c>
      <c r="H21" s="106">
        <f t="shared" si="7"/>
        <v>0</v>
      </c>
      <c r="I21" s="106">
        <f t="shared" si="7"/>
        <v>44967.598733292136</v>
      </c>
      <c r="J21" s="106">
        <f t="shared" si="7"/>
        <v>2357.550132128395</v>
      </c>
      <c r="K21" s="106">
        <f t="shared" si="7"/>
        <v>0</v>
      </c>
      <c r="L21" s="106">
        <f t="shared" si="7"/>
        <v>4428.8072751498112</v>
      </c>
      <c r="M21" s="106">
        <f t="shared" si="7"/>
        <v>0</v>
      </c>
      <c r="N21" s="106">
        <f t="shared" si="7"/>
        <v>72774.744741079907</v>
      </c>
      <c r="O21" s="106">
        <f t="shared" si="7"/>
        <v>108478.04755828845</v>
      </c>
      <c r="P21" s="106">
        <f t="shared" si="7"/>
        <v>0</v>
      </c>
      <c r="Q21" s="106">
        <f t="shared" si="7"/>
        <v>0</v>
      </c>
      <c r="R21" s="106">
        <f t="shared" si="7"/>
        <v>0</v>
      </c>
      <c r="S21" s="106">
        <f t="shared" si="7"/>
        <v>100201.73419043362</v>
      </c>
      <c r="T21" s="106">
        <f t="shared" si="7"/>
        <v>63772.785458958206</v>
      </c>
      <c r="U21" s="106">
        <f t="shared" si="7"/>
        <v>0</v>
      </c>
      <c r="V21" s="114">
        <f t="shared" si="7"/>
        <v>5951.9466380322392</v>
      </c>
    </row>
    <row r="22" spans="1:23" x14ac:dyDescent="0.25">
      <c r="A22" s="305" t="s">
        <v>164</v>
      </c>
      <c r="B22" s="306"/>
      <c r="C22" s="317">
        <f>+C5</f>
        <v>77804</v>
      </c>
      <c r="D22" s="307">
        <f t="shared" ref="D22" si="8">+C25</f>
        <v>91764.585005423054</v>
      </c>
      <c r="E22" s="307">
        <f t="shared" ref="E22" si="9">+D25</f>
        <v>106143.98756100881</v>
      </c>
      <c r="F22" s="307">
        <f t="shared" ref="F22" si="10">+E25</f>
        <v>70957.839739662129</v>
      </c>
      <c r="G22" s="307">
        <f t="shared" ref="G22" si="11">+F25</f>
        <v>86212.947910883056</v>
      </c>
      <c r="H22" s="307">
        <f t="shared" ref="H22" si="12">+G25</f>
        <v>101925.70932724061</v>
      </c>
      <c r="I22" s="307">
        <f t="shared" ref="I22" si="13">+H25</f>
        <v>118109.85358608888</v>
      </c>
      <c r="J22" s="307">
        <f t="shared" ref="J22" si="14">+I25</f>
        <v>89811.923439410457</v>
      </c>
      <c r="K22" s="307">
        <f t="shared" ref="K22" si="15">+J25</f>
        <v>104624.1319514942</v>
      </c>
      <c r="L22" s="307">
        <f t="shared" ref="L22" si="16">+K25</f>
        <v>122308.9833550327</v>
      </c>
      <c r="M22" s="307">
        <f t="shared" ref="M22" si="17">+L25</f>
        <v>136095.57302552753</v>
      </c>
      <c r="N22" s="307">
        <f t="shared" ref="N22" si="18">+M25</f>
        <v>154857.43187954152</v>
      </c>
      <c r="O22" s="307">
        <f t="shared" ref="O22" si="19">+N25</f>
        <v>101407.40175809602</v>
      </c>
      <c r="P22" s="307">
        <f t="shared" ref="P22" si="20">+O25</f>
        <v>12833.810258031008</v>
      </c>
      <c r="Q22" s="307">
        <f t="shared" ref="Q22" si="21">+P25</f>
        <v>33335.399998001158</v>
      </c>
      <c r="R22" s="307">
        <f t="shared" ref="R22" si="22">+Q25</f>
        <v>54452.037430170414</v>
      </c>
      <c r="S22" s="307">
        <f t="shared" ref="S22" si="23">+R25</f>
        <v>76202.173985304747</v>
      </c>
      <c r="T22" s="307">
        <f t="shared" ref="T22" si="24">+S25</f>
        <v>-1596.9195533405145</v>
      </c>
      <c r="U22" s="307">
        <f t="shared" ref="U22" si="25">+T25</f>
        <v>-42294.985140956713</v>
      </c>
      <c r="V22" s="308">
        <f t="shared" ref="V22" si="26">+U25</f>
        <v>-18528.023673474447</v>
      </c>
    </row>
    <row r="23" spans="1:23" x14ac:dyDescent="0.25">
      <c r="A23" s="111" t="s">
        <v>165</v>
      </c>
      <c r="B23" s="122"/>
      <c r="C23" s="310">
        <v>13960.585005423058</v>
      </c>
      <c r="D23" s="66">
        <f t="shared" ref="D23:V23" si="27">+$C23*(1+$I$3)^+D$10</f>
        <v>14379.40255558575</v>
      </c>
      <c r="E23" s="66">
        <f t="shared" si="27"/>
        <v>14810.784632253321</v>
      </c>
      <c r="F23" s="66">
        <f t="shared" si="27"/>
        <v>15255.108171220922</v>
      </c>
      <c r="G23" s="66">
        <f t="shared" si="27"/>
        <v>15712.761416357547</v>
      </c>
      <c r="H23" s="66">
        <f t="shared" si="27"/>
        <v>16184.144258848273</v>
      </c>
      <c r="I23" s="66">
        <f t="shared" si="27"/>
        <v>16669.668586613723</v>
      </c>
      <c r="J23" s="66">
        <f t="shared" si="27"/>
        <v>17169.758644212136</v>
      </c>
      <c r="K23" s="66">
        <f t="shared" si="27"/>
        <v>17684.851403538498</v>
      </c>
      <c r="L23" s="66">
        <f t="shared" si="27"/>
        <v>18215.396945644654</v>
      </c>
      <c r="M23" s="66">
        <f t="shared" si="27"/>
        <v>18761.858854013994</v>
      </c>
      <c r="N23" s="66">
        <f t="shared" si="27"/>
        <v>19324.714619634415</v>
      </c>
      <c r="O23" s="66">
        <f t="shared" si="27"/>
        <v>19904.456058223441</v>
      </c>
      <c r="P23" s="66">
        <f t="shared" si="27"/>
        <v>20501.589739970146</v>
      </c>
      <c r="Q23" s="66">
        <f t="shared" si="27"/>
        <v>21116.637432169253</v>
      </c>
      <c r="R23" s="66">
        <f t="shared" si="27"/>
        <v>21750.13655513433</v>
      </c>
      <c r="S23" s="66">
        <f t="shared" si="27"/>
        <v>22402.640651788355</v>
      </c>
      <c r="T23" s="66">
        <f t="shared" si="27"/>
        <v>23074.719871342008</v>
      </c>
      <c r="U23" s="66">
        <f t="shared" si="27"/>
        <v>23766.961467482266</v>
      </c>
      <c r="V23" s="189">
        <f t="shared" si="27"/>
        <v>24479.970311506735</v>
      </c>
    </row>
    <row r="24" spans="1:23" ht="15.75" thickBot="1" x14ac:dyDescent="0.3">
      <c r="A24" s="115" t="s">
        <v>166</v>
      </c>
      <c r="B24" s="195"/>
      <c r="C24" s="116">
        <f t="shared" ref="C24:V24" si="28">-C21</f>
        <v>0</v>
      </c>
      <c r="D24" s="78">
        <f t="shared" si="28"/>
        <v>0</v>
      </c>
      <c r="E24" s="78">
        <f t="shared" si="28"/>
        <v>-49996.932453599999</v>
      </c>
      <c r="F24" s="78">
        <f t="shared" si="28"/>
        <v>0</v>
      </c>
      <c r="G24" s="78">
        <f t="shared" si="28"/>
        <v>0</v>
      </c>
      <c r="H24" s="78">
        <f t="shared" si="28"/>
        <v>0</v>
      </c>
      <c r="I24" s="78">
        <f t="shared" si="28"/>
        <v>-44967.598733292136</v>
      </c>
      <c r="J24" s="78">
        <f t="shared" si="28"/>
        <v>-2357.550132128395</v>
      </c>
      <c r="K24" s="78">
        <f t="shared" si="28"/>
        <v>0</v>
      </c>
      <c r="L24" s="78">
        <f t="shared" si="28"/>
        <v>-4428.8072751498112</v>
      </c>
      <c r="M24" s="78">
        <f t="shared" si="28"/>
        <v>0</v>
      </c>
      <c r="N24" s="78">
        <f t="shared" si="28"/>
        <v>-72774.744741079907</v>
      </c>
      <c r="O24" s="78">
        <f t="shared" si="28"/>
        <v>-108478.04755828845</v>
      </c>
      <c r="P24" s="78">
        <f t="shared" si="28"/>
        <v>0</v>
      </c>
      <c r="Q24" s="78">
        <f t="shared" si="28"/>
        <v>0</v>
      </c>
      <c r="R24" s="78">
        <f t="shared" si="28"/>
        <v>0</v>
      </c>
      <c r="S24" s="78">
        <f t="shared" si="28"/>
        <v>-100201.73419043362</v>
      </c>
      <c r="T24" s="78">
        <f t="shared" si="28"/>
        <v>-63772.785458958206</v>
      </c>
      <c r="U24" s="78">
        <f t="shared" si="28"/>
        <v>0</v>
      </c>
      <c r="V24" s="80">
        <f t="shared" si="28"/>
        <v>-5951.9466380322392</v>
      </c>
    </row>
    <row r="25" spans="1:23" x14ac:dyDescent="0.25">
      <c r="B25" s="151" t="s">
        <v>167</v>
      </c>
      <c r="C25" s="66">
        <f t="shared" ref="C25:V25" si="29">SUM(C22:C24)</f>
        <v>91764.585005423054</v>
      </c>
      <c r="D25" s="66">
        <f t="shared" si="29"/>
        <v>106143.98756100881</v>
      </c>
      <c r="E25" s="66">
        <f t="shared" si="29"/>
        <v>70957.839739662129</v>
      </c>
      <c r="F25" s="66">
        <f t="shared" si="29"/>
        <v>86212.947910883056</v>
      </c>
      <c r="G25" s="66">
        <f t="shared" si="29"/>
        <v>101925.70932724061</v>
      </c>
      <c r="H25" s="66">
        <f t="shared" si="29"/>
        <v>118109.85358608888</v>
      </c>
      <c r="I25" s="66">
        <f t="shared" si="29"/>
        <v>89811.923439410457</v>
      </c>
      <c r="J25" s="66">
        <f t="shared" si="29"/>
        <v>104624.1319514942</v>
      </c>
      <c r="K25" s="66">
        <f t="shared" si="29"/>
        <v>122308.9833550327</v>
      </c>
      <c r="L25" s="66">
        <f t="shared" si="29"/>
        <v>136095.57302552753</v>
      </c>
      <c r="M25" s="66">
        <f t="shared" si="29"/>
        <v>154857.43187954152</v>
      </c>
      <c r="N25" s="66">
        <f t="shared" si="29"/>
        <v>101407.40175809602</v>
      </c>
      <c r="O25" s="66">
        <f t="shared" si="29"/>
        <v>12833.810258031008</v>
      </c>
      <c r="P25" s="66">
        <f t="shared" si="29"/>
        <v>33335.399998001158</v>
      </c>
      <c r="Q25" s="66">
        <f t="shared" si="29"/>
        <v>54452.037430170414</v>
      </c>
      <c r="R25" s="66">
        <f t="shared" si="29"/>
        <v>76202.173985304747</v>
      </c>
      <c r="S25" s="66">
        <f t="shared" si="29"/>
        <v>-1596.9195533405145</v>
      </c>
      <c r="T25" s="66">
        <f t="shared" si="29"/>
        <v>-42294.985140956713</v>
      </c>
      <c r="U25" s="66">
        <f t="shared" si="29"/>
        <v>-18528.023673474447</v>
      </c>
      <c r="V25" s="66">
        <f t="shared" si="29"/>
        <v>4.9112713895738125E-11</v>
      </c>
    </row>
    <row r="27" spans="1:23" ht="15.75" thickBot="1" x14ac:dyDescent="0.3">
      <c r="A27" s="304" t="s">
        <v>364</v>
      </c>
    </row>
    <row r="28" spans="1:23" x14ac:dyDescent="0.25">
      <c r="A28" s="224" t="s">
        <v>362</v>
      </c>
      <c r="B28" s="68"/>
      <c r="C28" s="300">
        <f>+'Uitgaven per fonds'!H43</f>
        <v>0</v>
      </c>
      <c r="D28" s="71">
        <f>+'Uitgaven per fonds'!I43</f>
        <v>0</v>
      </c>
      <c r="E28" s="71">
        <f>+'Uitgaven per fonds'!J43</f>
        <v>0</v>
      </c>
      <c r="F28" s="71">
        <f>+'Uitgaven per fonds'!K43</f>
        <v>0</v>
      </c>
      <c r="G28" s="71">
        <f>+'Uitgaven per fonds'!L43</f>
        <v>0</v>
      </c>
      <c r="H28" s="71">
        <f>+'Uitgaven per fonds'!M43</f>
        <v>7672.0000000000009</v>
      </c>
      <c r="I28" s="71">
        <f>+'Uitgaven per fonds'!N43</f>
        <v>0</v>
      </c>
      <c r="J28" s="71">
        <f>+'Uitgaven per fonds'!O43</f>
        <v>0</v>
      </c>
      <c r="K28" s="71">
        <f>+'Uitgaven per fonds'!P43</f>
        <v>0</v>
      </c>
      <c r="L28" s="71">
        <f>+'Uitgaven per fonds'!Q43</f>
        <v>0</v>
      </c>
      <c r="M28" s="71">
        <f>+'Uitgaven per fonds'!R43</f>
        <v>0</v>
      </c>
      <c r="N28" s="71">
        <f>+'Uitgaven per fonds'!S43</f>
        <v>0</v>
      </c>
      <c r="O28" s="71">
        <f>+'Uitgaven per fonds'!T43</f>
        <v>35475.328000000001</v>
      </c>
      <c r="P28" s="71">
        <f>+'Uitgaven per fonds'!U43</f>
        <v>0</v>
      </c>
      <c r="Q28" s="71">
        <f>+'Uitgaven per fonds'!V43</f>
        <v>0</v>
      </c>
      <c r="R28" s="71">
        <f>+'Uitgaven per fonds'!W43</f>
        <v>0</v>
      </c>
      <c r="S28" s="71">
        <f>+'Uitgaven per fonds'!X43</f>
        <v>0</v>
      </c>
      <c r="T28" s="71">
        <f>+'Uitgaven per fonds'!Y43</f>
        <v>0</v>
      </c>
      <c r="U28" s="71">
        <f>+'Uitgaven per fonds'!Z43</f>
        <v>0</v>
      </c>
      <c r="V28" s="276">
        <f>+'Uitgaven per fonds'!AA43</f>
        <v>0</v>
      </c>
    </row>
    <row r="29" spans="1:23" x14ac:dyDescent="0.25">
      <c r="A29" s="225" t="s">
        <v>196</v>
      </c>
      <c r="B29" s="113"/>
      <c r="C29" s="105">
        <f t="shared" ref="C29:V29" si="30">+C28*(1+$I$3)^C$10</f>
        <v>0</v>
      </c>
      <c r="D29" s="106">
        <f t="shared" si="30"/>
        <v>0</v>
      </c>
      <c r="E29" s="106">
        <f t="shared" si="30"/>
        <v>0</v>
      </c>
      <c r="F29" s="106">
        <f t="shared" si="30"/>
        <v>0</v>
      </c>
      <c r="G29" s="106">
        <f t="shared" si="30"/>
        <v>0</v>
      </c>
      <c r="H29" s="106">
        <f t="shared" si="30"/>
        <v>8893.9506980295992</v>
      </c>
      <c r="I29" s="106">
        <f t="shared" si="30"/>
        <v>0</v>
      </c>
      <c r="J29" s="106">
        <f t="shared" si="30"/>
        <v>0</v>
      </c>
      <c r="K29" s="106">
        <f t="shared" si="30"/>
        <v>0</v>
      </c>
      <c r="L29" s="106">
        <f t="shared" si="30"/>
        <v>0</v>
      </c>
      <c r="M29" s="106">
        <f t="shared" si="30"/>
        <v>0</v>
      </c>
      <c r="N29" s="106">
        <f t="shared" si="30"/>
        <v>0</v>
      </c>
      <c r="O29" s="106">
        <f t="shared" si="30"/>
        <v>50579.335110439075</v>
      </c>
      <c r="P29" s="106">
        <f t="shared" si="30"/>
        <v>0</v>
      </c>
      <c r="Q29" s="106">
        <f t="shared" si="30"/>
        <v>0</v>
      </c>
      <c r="R29" s="106">
        <f t="shared" si="30"/>
        <v>0</v>
      </c>
      <c r="S29" s="106">
        <f t="shared" si="30"/>
        <v>0</v>
      </c>
      <c r="T29" s="106">
        <f t="shared" si="30"/>
        <v>0</v>
      </c>
      <c r="U29" s="106">
        <f t="shared" si="30"/>
        <v>0</v>
      </c>
      <c r="V29" s="114">
        <f t="shared" si="30"/>
        <v>0</v>
      </c>
    </row>
    <row r="30" spans="1:23" x14ac:dyDescent="0.25">
      <c r="A30" s="305" t="s">
        <v>164</v>
      </c>
      <c r="B30" s="306"/>
      <c r="C30" s="317">
        <f>+C6</f>
        <v>6472</v>
      </c>
      <c r="D30" s="307">
        <f t="shared" ref="D30" si="31">+C33</f>
        <v>8889.3095114572134</v>
      </c>
      <c r="E30" s="307">
        <f t="shared" ref="E30" si="32">+D33</f>
        <v>11379.138308258143</v>
      </c>
      <c r="F30" s="307">
        <f t="shared" ref="F30" si="33">+E33</f>
        <v>13943.661968963101</v>
      </c>
      <c r="G30" s="307">
        <f t="shared" ref="G30" si="34">+F33</f>
        <v>16585.121339489207</v>
      </c>
      <c r="H30" s="307">
        <f t="shared" ref="H30" si="35">+G33</f>
        <v>19305.824491131098</v>
      </c>
      <c r="I30" s="307">
        <f t="shared" ref="I30" si="36">+H33</f>
        <v>13214.198039292645</v>
      </c>
      <c r="J30" s="307">
        <f t="shared" ref="J30" si="37">+I33</f>
        <v>16100.592012869525</v>
      </c>
      <c r="K30" s="307">
        <f t="shared" ref="K30" si="38">+J33</f>
        <v>19073.577805653713</v>
      </c>
      <c r="L30" s="307">
        <f t="shared" ref="L30" si="39">+K33</f>
        <v>22135.753172221426</v>
      </c>
      <c r="M30" s="307">
        <f t="shared" ref="M30" si="40">+L33</f>
        <v>25289.79379978617</v>
      </c>
      <c r="N30" s="307">
        <f t="shared" ref="N30" si="41">+M33</f>
        <v>28538.455646177856</v>
      </c>
      <c r="O30" s="307">
        <f t="shared" ref="O30" si="42">+N33</f>
        <v>31884.577347961291</v>
      </c>
      <c r="P30" s="307">
        <f t="shared" ref="P30" si="43">+O33</f>
        <v>-15248.252409640845</v>
      </c>
      <c r="Q30" s="307">
        <f t="shared" ref="Q30" si="44">+P33</f>
        <v>-11698.351896218797</v>
      </c>
      <c r="R30" s="307">
        <f t="shared" ref="R30" si="45">+Q33</f>
        <v>-8041.954367394088</v>
      </c>
      <c r="S30" s="307">
        <f t="shared" ref="S30" si="46">+R33</f>
        <v>-4275.8649127046374</v>
      </c>
      <c r="T30" s="307">
        <f t="shared" ref="T30" si="47">+S33</f>
        <v>-396.79277437450401</v>
      </c>
      <c r="U30" s="307">
        <f t="shared" ref="U30" si="48">+T33</f>
        <v>3598.6515281055335</v>
      </c>
      <c r="V30" s="189">
        <f t="shared" ref="V30" si="49">+U33</f>
        <v>7713.9591596599721</v>
      </c>
    </row>
    <row r="31" spans="1:23" x14ac:dyDescent="0.25">
      <c r="A31" s="111" t="s">
        <v>165</v>
      </c>
      <c r="B31" s="122"/>
      <c r="C31" s="310">
        <v>2417.3095114572134</v>
      </c>
      <c r="D31" s="66">
        <f t="shared" ref="D31:V31" si="50">+$C31*(1+$I$3)^+D$10</f>
        <v>2489.8287968009299</v>
      </c>
      <c r="E31" s="66">
        <f t="shared" si="50"/>
        <v>2564.5236607049574</v>
      </c>
      <c r="F31" s="66">
        <f t="shared" si="50"/>
        <v>2641.4593705261063</v>
      </c>
      <c r="G31" s="66">
        <f t="shared" si="50"/>
        <v>2720.7031516418892</v>
      </c>
      <c r="H31" s="66">
        <f t="shared" si="50"/>
        <v>2802.3242461911459</v>
      </c>
      <c r="I31" s="66">
        <f t="shared" si="50"/>
        <v>2886.3939735768804</v>
      </c>
      <c r="J31" s="66">
        <f t="shared" si="50"/>
        <v>2972.9857927841872</v>
      </c>
      <c r="K31" s="66">
        <f t="shared" si="50"/>
        <v>3062.1753665677124</v>
      </c>
      <c r="L31" s="66">
        <f t="shared" si="50"/>
        <v>3154.0406275647438</v>
      </c>
      <c r="M31" s="66">
        <f t="shared" si="50"/>
        <v>3248.6618463916861</v>
      </c>
      <c r="N31" s="66">
        <f t="shared" si="50"/>
        <v>3346.1217017834369</v>
      </c>
      <c r="O31" s="66">
        <f t="shared" si="50"/>
        <v>3446.5053528369394</v>
      </c>
      <c r="P31" s="66">
        <f t="shared" si="50"/>
        <v>3549.9005134220474</v>
      </c>
      <c r="Q31" s="66">
        <f t="shared" si="50"/>
        <v>3656.3975288247093</v>
      </c>
      <c r="R31" s="66">
        <f t="shared" si="50"/>
        <v>3766.0894546894506</v>
      </c>
      <c r="S31" s="66">
        <f t="shared" si="50"/>
        <v>3879.0721383301334</v>
      </c>
      <c r="T31" s="66">
        <f t="shared" si="50"/>
        <v>3995.4443024800375</v>
      </c>
      <c r="U31" s="66">
        <f t="shared" si="50"/>
        <v>4115.3076315544386</v>
      </c>
      <c r="V31" s="189">
        <f t="shared" si="50"/>
        <v>4238.7668605010722</v>
      </c>
    </row>
    <row r="32" spans="1:23" ht="15.75" thickBot="1" x14ac:dyDescent="0.3">
      <c r="A32" s="115" t="s">
        <v>166</v>
      </c>
      <c r="B32" s="195"/>
      <c r="C32" s="116">
        <f t="shared" ref="C32:V32" si="51">-C29</f>
        <v>0</v>
      </c>
      <c r="D32" s="78">
        <f t="shared" si="51"/>
        <v>0</v>
      </c>
      <c r="E32" s="78">
        <f t="shared" si="51"/>
        <v>0</v>
      </c>
      <c r="F32" s="78">
        <f t="shared" si="51"/>
        <v>0</v>
      </c>
      <c r="G32" s="78">
        <f t="shared" si="51"/>
        <v>0</v>
      </c>
      <c r="H32" s="78">
        <f t="shared" si="51"/>
        <v>-8893.9506980295992</v>
      </c>
      <c r="I32" s="78">
        <f t="shared" si="51"/>
        <v>0</v>
      </c>
      <c r="J32" s="78">
        <f t="shared" si="51"/>
        <v>0</v>
      </c>
      <c r="K32" s="78">
        <f t="shared" si="51"/>
        <v>0</v>
      </c>
      <c r="L32" s="78">
        <f t="shared" si="51"/>
        <v>0</v>
      </c>
      <c r="M32" s="78">
        <f t="shared" si="51"/>
        <v>0</v>
      </c>
      <c r="N32" s="78">
        <f t="shared" si="51"/>
        <v>0</v>
      </c>
      <c r="O32" s="78">
        <f t="shared" si="51"/>
        <v>-50579.335110439075</v>
      </c>
      <c r="P32" s="78">
        <f t="shared" si="51"/>
        <v>0</v>
      </c>
      <c r="Q32" s="78">
        <f t="shared" si="51"/>
        <v>0</v>
      </c>
      <c r="R32" s="78">
        <f t="shared" si="51"/>
        <v>0</v>
      </c>
      <c r="S32" s="78">
        <f t="shared" si="51"/>
        <v>0</v>
      </c>
      <c r="T32" s="78">
        <f t="shared" si="51"/>
        <v>0</v>
      </c>
      <c r="U32" s="78">
        <f t="shared" si="51"/>
        <v>0</v>
      </c>
      <c r="V32" s="114">
        <f t="shared" si="51"/>
        <v>0</v>
      </c>
    </row>
    <row r="33" spans="1:22" x14ac:dyDescent="0.25">
      <c r="B33" s="151" t="s">
        <v>167</v>
      </c>
      <c r="C33" s="66">
        <f t="shared" ref="C33:V33" si="52">SUM(C30:C32)</f>
        <v>8889.3095114572134</v>
      </c>
      <c r="D33" s="66">
        <f t="shared" si="52"/>
        <v>11379.138308258143</v>
      </c>
      <c r="E33" s="66">
        <f t="shared" si="52"/>
        <v>13943.661968963101</v>
      </c>
      <c r="F33" s="66">
        <f t="shared" si="52"/>
        <v>16585.121339489207</v>
      </c>
      <c r="G33" s="66">
        <f t="shared" si="52"/>
        <v>19305.824491131098</v>
      </c>
      <c r="H33" s="66">
        <f t="shared" si="52"/>
        <v>13214.198039292645</v>
      </c>
      <c r="I33" s="66">
        <f t="shared" si="52"/>
        <v>16100.592012869525</v>
      </c>
      <c r="J33" s="66">
        <f t="shared" si="52"/>
        <v>19073.577805653713</v>
      </c>
      <c r="K33" s="66">
        <f t="shared" si="52"/>
        <v>22135.753172221426</v>
      </c>
      <c r="L33" s="66">
        <f t="shared" si="52"/>
        <v>25289.79379978617</v>
      </c>
      <c r="M33" s="66">
        <f t="shared" si="52"/>
        <v>28538.455646177856</v>
      </c>
      <c r="N33" s="66">
        <f t="shared" si="52"/>
        <v>31884.577347961291</v>
      </c>
      <c r="O33" s="66">
        <f t="shared" si="52"/>
        <v>-15248.252409640845</v>
      </c>
      <c r="P33" s="66">
        <f t="shared" si="52"/>
        <v>-11698.351896218797</v>
      </c>
      <c r="Q33" s="66">
        <f t="shared" si="52"/>
        <v>-8041.954367394088</v>
      </c>
      <c r="R33" s="66">
        <f t="shared" si="52"/>
        <v>-4275.8649127046374</v>
      </c>
      <c r="S33" s="66">
        <f t="shared" si="52"/>
        <v>-396.79277437450401</v>
      </c>
      <c r="T33" s="66">
        <f t="shared" si="52"/>
        <v>3598.6515281055335</v>
      </c>
      <c r="U33" s="66">
        <f t="shared" si="52"/>
        <v>7713.9591596599721</v>
      </c>
      <c r="V33" s="66">
        <f t="shared" si="52"/>
        <v>11952.726020161044</v>
      </c>
    </row>
    <row r="35" spans="1:22" ht="15.75" thickBot="1" x14ac:dyDescent="0.3">
      <c r="A35" s="304" t="s">
        <v>171</v>
      </c>
    </row>
    <row r="36" spans="1:22" x14ac:dyDescent="0.25">
      <c r="A36" s="224" t="s">
        <v>362</v>
      </c>
      <c r="B36" s="228"/>
      <c r="C36" s="300">
        <f>+'Uitgaven per fonds'!H55</f>
        <v>8883.08</v>
      </c>
      <c r="D36" s="71">
        <f>+'Uitgaven per fonds'!I55</f>
        <v>0</v>
      </c>
      <c r="E36" s="71">
        <f>+'Uitgaven per fonds'!J55</f>
        <v>0</v>
      </c>
      <c r="F36" s="71">
        <f>+'Uitgaven per fonds'!K55</f>
        <v>0</v>
      </c>
      <c r="G36" s="71">
        <f>+'Uitgaven per fonds'!L55</f>
        <v>0</v>
      </c>
      <c r="H36" s="71">
        <f>+'Uitgaven per fonds'!M55</f>
        <v>6597.92</v>
      </c>
      <c r="I36" s="71">
        <f>+'Uitgaven per fonds'!N55</f>
        <v>9826.7360000000008</v>
      </c>
      <c r="J36" s="71">
        <f>+'Uitgaven per fonds'!O55</f>
        <v>0</v>
      </c>
      <c r="K36" s="71">
        <f>+'Uitgaven per fonds'!P55</f>
        <v>0</v>
      </c>
      <c r="L36" s="71">
        <f>+'Uitgaven per fonds'!Q55</f>
        <v>0</v>
      </c>
      <c r="M36" s="71">
        <f>+'Uitgaven per fonds'!R55</f>
        <v>6597.92</v>
      </c>
      <c r="N36" s="71">
        <f>+'Uitgaven per fonds'!S55</f>
        <v>0</v>
      </c>
      <c r="O36" s="71">
        <f>+'Uitgaven per fonds'!T55</f>
        <v>22151.256000000001</v>
      </c>
      <c r="P36" s="71">
        <f>+'Uitgaven per fonds'!U55</f>
        <v>0</v>
      </c>
      <c r="Q36" s="71">
        <f>+'Uitgaven per fonds'!V55</f>
        <v>0</v>
      </c>
      <c r="R36" s="71">
        <f>+'Uitgaven per fonds'!W55</f>
        <v>6597.92</v>
      </c>
      <c r="S36" s="71">
        <f>+'Uitgaven per fonds'!X55</f>
        <v>0</v>
      </c>
      <c r="T36" s="71">
        <f>+'Uitgaven per fonds'!Y55</f>
        <v>10642.160000000002</v>
      </c>
      <c r="U36" s="71">
        <f>+'Uitgaven per fonds'!Z55</f>
        <v>8343.848</v>
      </c>
      <c r="V36" s="276">
        <f>+'Uitgaven per fonds'!AA55</f>
        <v>0</v>
      </c>
    </row>
    <row r="37" spans="1:22" x14ac:dyDescent="0.25">
      <c r="A37" s="225" t="s">
        <v>196</v>
      </c>
      <c r="B37" s="177"/>
      <c r="C37" s="105">
        <f t="shared" ref="C37:V37" si="53">+C36*(1+$I$3)^C$10</f>
        <v>8883.08</v>
      </c>
      <c r="D37" s="106">
        <f t="shared" si="53"/>
        <v>0</v>
      </c>
      <c r="E37" s="106">
        <f t="shared" si="53"/>
        <v>0</v>
      </c>
      <c r="F37" s="106">
        <f t="shared" si="53"/>
        <v>0</v>
      </c>
      <c r="G37" s="106">
        <f t="shared" si="53"/>
        <v>0</v>
      </c>
      <c r="H37" s="106">
        <f t="shared" si="53"/>
        <v>7648.7976003054555</v>
      </c>
      <c r="I37" s="106">
        <f t="shared" si="53"/>
        <v>11733.636688184199</v>
      </c>
      <c r="J37" s="106">
        <f t="shared" si="53"/>
        <v>0</v>
      </c>
      <c r="K37" s="106">
        <f t="shared" si="53"/>
        <v>0</v>
      </c>
      <c r="L37" s="106">
        <f t="shared" si="53"/>
        <v>0</v>
      </c>
      <c r="M37" s="106">
        <f t="shared" si="53"/>
        <v>8867.0527576021686</v>
      </c>
      <c r="N37" s="106">
        <f t="shared" si="53"/>
        <v>0</v>
      </c>
      <c r="O37" s="106">
        <f t="shared" si="53"/>
        <v>31582.394399316738</v>
      </c>
      <c r="P37" s="106">
        <f t="shared" si="53"/>
        <v>0</v>
      </c>
      <c r="Q37" s="106">
        <f t="shared" si="53"/>
        <v>0</v>
      </c>
      <c r="R37" s="106">
        <f t="shared" si="53"/>
        <v>10279.344377338515</v>
      </c>
      <c r="S37" s="106">
        <f t="shared" si="53"/>
        <v>0</v>
      </c>
      <c r="T37" s="106">
        <f t="shared" si="53"/>
        <v>17589.868958257139</v>
      </c>
      <c r="U37" s="106">
        <f t="shared" si="53"/>
        <v>14204.842693160444</v>
      </c>
      <c r="V37" s="114">
        <f t="shared" si="53"/>
        <v>0</v>
      </c>
    </row>
    <row r="38" spans="1:22" x14ac:dyDescent="0.25">
      <c r="A38" s="305" t="s">
        <v>164</v>
      </c>
      <c r="B38" s="305"/>
      <c r="C38" s="317">
        <f>+C7</f>
        <v>28189</v>
      </c>
      <c r="D38" s="307">
        <f t="shared" ref="D38" si="54">+C41</f>
        <v>22379.938097813967</v>
      </c>
      <c r="E38" s="307">
        <f t="shared" ref="E38" si="55">+D41</f>
        <v>25546.176738562353</v>
      </c>
      <c r="F38" s="307">
        <f t="shared" ref="F38" si="56">+E41</f>
        <v>28807.402538533192</v>
      </c>
      <c r="G38" s="307">
        <f t="shared" ref="G38" si="57">+F41</f>
        <v>32166.465112503156</v>
      </c>
      <c r="H38" s="307">
        <f t="shared" ref="H38" si="58">+G41</f>
        <v>35626.299563692221</v>
      </c>
      <c r="I38" s="307">
        <f t="shared" ref="I38" si="59">+H41</f>
        <v>31541.131448111497</v>
      </c>
      <c r="J38" s="307">
        <f t="shared" ref="J38" si="60">+I41</f>
        <v>23478.033129193776</v>
      </c>
      <c r="K38" s="307">
        <f t="shared" ref="K38" si="61">+J41</f>
        <v>27258.687649538249</v>
      </c>
      <c r="L38" s="307">
        <f t="shared" ref="L38" si="62">+K41</f>
        <v>31152.761805493057</v>
      </c>
      <c r="M38" s="307">
        <f t="shared" ref="M38" si="63">+L41</f>
        <v>35163.658186126508</v>
      </c>
      <c r="N38" s="307">
        <f t="shared" ref="N38" si="64">+M41</f>
        <v>30427.828700576792</v>
      </c>
      <c r="O38" s="307">
        <f t="shared" ref="O38" si="65">+N41</f>
        <v>34682.988670790823</v>
      </c>
      <c r="P38" s="307">
        <f t="shared" ref="P38" si="66">+O41</f>
        <v>7483.4090407945296</v>
      </c>
      <c r="Q38" s="307">
        <f t="shared" ref="Q38" si="67">+P41</f>
        <v>11997.708253194591</v>
      </c>
      <c r="R38" s="307">
        <f t="shared" ref="R38" si="68">+Q41</f>
        <v>16647.436441966653</v>
      </c>
      <c r="S38" s="307">
        <f t="shared" ref="S38" si="69">+R41</f>
        <v>11157.312099063362</v>
      </c>
      <c r="T38" s="307">
        <f t="shared" ref="T38" si="70">+S41</f>
        <v>16090.208734531643</v>
      </c>
      <c r="U38" s="307">
        <f t="shared" ref="U38" si="71">+T41</f>
        <v>3581.2233108068322</v>
      </c>
      <c r="V38" s="308">
        <f t="shared" ref="V38" si="72">+U41</f>
        <v>-5390.3093417853124</v>
      </c>
    </row>
    <row r="39" spans="1:22" x14ac:dyDescent="0.25">
      <c r="A39" s="111" t="s">
        <v>165</v>
      </c>
      <c r="B39" s="109"/>
      <c r="C39" s="310">
        <v>3074.0180978139692</v>
      </c>
      <c r="D39" s="66">
        <f t="shared" ref="D39:V39" si="73">+$C39*(1+$I$3)^+D$10</f>
        <v>3166.2386407483882</v>
      </c>
      <c r="E39" s="66">
        <f t="shared" si="73"/>
        <v>3261.2257999708399</v>
      </c>
      <c r="F39" s="66">
        <f t="shared" si="73"/>
        <v>3359.0625739699653</v>
      </c>
      <c r="G39" s="66">
        <f t="shared" si="73"/>
        <v>3459.8344511890637</v>
      </c>
      <c r="H39" s="66">
        <f t="shared" si="73"/>
        <v>3563.6294847247354</v>
      </c>
      <c r="I39" s="66">
        <f t="shared" si="73"/>
        <v>3670.5383692664777</v>
      </c>
      <c r="J39" s="66">
        <f t="shared" si="73"/>
        <v>3780.6545203444725</v>
      </c>
      <c r="K39" s="66">
        <f t="shared" si="73"/>
        <v>3894.074155954806</v>
      </c>
      <c r="L39" s="66">
        <f t="shared" si="73"/>
        <v>4010.8963806334505</v>
      </c>
      <c r="M39" s="66">
        <f t="shared" si="73"/>
        <v>4131.2232720524544</v>
      </c>
      <c r="N39" s="66">
        <f t="shared" si="73"/>
        <v>4255.1599702140275</v>
      </c>
      <c r="O39" s="66">
        <f t="shared" si="73"/>
        <v>4382.8147693204482</v>
      </c>
      <c r="P39" s="66">
        <f t="shared" si="73"/>
        <v>4514.2992124000612</v>
      </c>
      <c r="Q39" s="66">
        <f t="shared" si="73"/>
        <v>4649.7281887720637</v>
      </c>
      <c r="R39" s="66">
        <f t="shared" si="73"/>
        <v>4789.2200344352259</v>
      </c>
      <c r="S39" s="66">
        <f t="shared" si="73"/>
        <v>4932.8966354682816</v>
      </c>
      <c r="T39" s="66">
        <f t="shared" si="73"/>
        <v>5080.8835345323296</v>
      </c>
      <c r="U39" s="66">
        <f t="shared" si="73"/>
        <v>5233.3100405682999</v>
      </c>
      <c r="V39" s="189">
        <f t="shared" si="73"/>
        <v>5390.3093417853488</v>
      </c>
    </row>
    <row r="40" spans="1:22" ht="15.75" thickBot="1" x14ac:dyDescent="0.3">
      <c r="A40" s="115" t="s">
        <v>166</v>
      </c>
      <c r="B40" s="325"/>
      <c r="C40" s="78">
        <f t="shared" ref="C40:V40" si="74">-C37</f>
        <v>-8883.08</v>
      </c>
      <c r="D40" s="78">
        <f t="shared" si="74"/>
        <v>0</v>
      </c>
      <c r="E40" s="78">
        <f t="shared" si="74"/>
        <v>0</v>
      </c>
      <c r="F40" s="78">
        <f t="shared" si="74"/>
        <v>0</v>
      </c>
      <c r="G40" s="78">
        <f t="shared" si="74"/>
        <v>0</v>
      </c>
      <c r="H40" s="78">
        <f t="shared" si="74"/>
        <v>-7648.7976003054555</v>
      </c>
      <c r="I40" s="78">
        <f t="shared" si="74"/>
        <v>-11733.636688184199</v>
      </c>
      <c r="J40" s="78">
        <f t="shared" si="74"/>
        <v>0</v>
      </c>
      <c r="K40" s="78">
        <f t="shared" si="74"/>
        <v>0</v>
      </c>
      <c r="L40" s="78">
        <f t="shared" si="74"/>
        <v>0</v>
      </c>
      <c r="M40" s="78">
        <f t="shared" si="74"/>
        <v>-8867.0527576021686</v>
      </c>
      <c r="N40" s="78">
        <f t="shared" si="74"/>
        <v>0</v>
      </c>
      <c r="O40" s="78">
        <f t="shared" si="74"/>
        <v>-31582.394399316738</v>
      </c>
      <c r="P40" s="78">
        <f t="shared" si="74"/>
        <v>0</v>
      </c>
      <c r="Q40" s="78">
        <f t="shared" si="74"/>
        <v>0</v>
      </c>
      <c r="R40" s="78">
        <f t="shared" si="74"/>
        <v>-10279.344377338515</v>
      </c>
      <c r="S40" s="78">
        <f t="shared" si="74"/>
        <v>0</v>
      </c>
      <c r="T40" s="78">
        <f t="shared" si="74"/>
        <v>-17589.868958257139</v>
      </c>
      <c r="U40" s="78">
        <f t="shared" si="74"/>
        <v>-14204.842693160444</v>
      </c>
      <c r="V40" s="80">
        <f t="shared" si="74"/>
        <v>0</v>
      </c>
    </row>
    <row r="41" spans="1:22" x14ac:dyDescent="0.25">
      <c r="B41" s="151" t="s">
        <v>167</v>
      </c>
      <c r="C41" s="66">
        <f t="shared" ref="C41:V41" si="75">SUM(C38:C40)</f>
        <v>22379.938097813967</v>
      </c>
      <c r="D41" s="66">
        <f t="shared" si="75"/>
        <v>25546.176738562353</v>
      </c>
      <c r="E41" s="66">
        <f t="shared" si="75"/>
        <v>28807.402538533192</v>
      </c>
      <c r="F41" s="66">
        <f t="shared" si="75"/>
        <v>32166.465112503156</v>
      </c>
      <c r="G41" s="66">
        <f t="shared" si="75"/>
        <v>35626.299563692221</v>
      </c>
      <c r="H41" s="66">
        <f t="shared" si="75"/>
        <v>31541.131448111497</v>
      </c>
      <c r="I41" s="66">
        <f t="shared" si="75"/>
        <v>23478.033129193776</v>
      </c>
      <c r="J41" s="66">
        <f t="shared" si="75"/>
        <v>27258.687649538249</v>
      </c>
      <c r="K41" s="66">
        <f t="shared" si="75"/>
        <v>31152.761805493057</v>
      </c>
      <c r="L41" s="66">
        <f t="shared" si="75"/>
        <v>35163.658186126508</v>
      </c>
      <c r="M41" s="66">
        <f t="shared" si="75"/>
        <v>30427.828700576792</v>
      </c>
      <c r="N41" s="66">
        <f t="shared" si="75"/>
        <v>34682.988670790823</v>
      </c>
      <c r="O41" s="66">
        <f t="shared" si="75"/>
        <v>7483.4090407945296</v>
      </c>
      <c r="P41" s="66">
        <f t="shared" si="75"/>
        <v>11997.708253194591</v>
      </c>
      <c r="Q41" s="66">
        <f t="shared" si="75"/>
        <v>16647.436441966653</v>
      </c>
      <c r="R41" s="66">
        <f t="shared" si="75"/>
        <v>11157.312099063362</v>
      </c>
      <c r="S41" s="66">
        <f t="shared" si="75"/>
        <v>16090.208734531643</v>
      </c>
      <c r="T41" s="66">
        <f t="shared" si="75"/>
        <v>3581.2233108068322</v>
      </c>
      <c r="U41" s="66">
        <f t="shared" si="75"/>
        <v>-5390.3093417853124</v>
      </c>
      <c r="V41" s="66">
        <f t="shared" si="75"/>
        <v>3.637978807091713E-11</v>
      </c>
    </row>
    <row r="42" spans="1:22" ht="15.75" thickBot="1" x14ac:dyDescent="0.3"/>
    <row r="43" spans="1:22" ht="15.75" thickBot="1" x14ac:dyDescent="0.3">
      <c r="A43" s="320" t="s">
        <v>371</v>
      </c>
      <c r="B43" s="321"/>
      <c r="C43" s="324">
        <f t="shared" ref="C43:V43" si="76">+C17+C25+C33+C41</f>
        <v>183211.2596761008</v>
      </c>
      <c r="D43" s="322">
        <f t="shared" si="76"/>
        <v>208649.26410248457</v>
      </c>
      <c r="E43" s="322">
        <f t="shared" si="76"/>
        <v>184853.47620805987</v>
      </c>
      <c r="F43" s="322">
        <f t="shared" si="76"/>
        <v>211840.65510401045</v>
      </c>
      <c r="G43" s="322">
        <f t="shared" si="76"/>
        <v>239637.44936683954</v>
      </c>
      <c r="H43" s="322">
        <f t="shared" si="76"/>
        <v>251725.39915921848</v>
      </c>
      <c r="I43" s="322">
        <f t="shared" si="76"/>
        <v>224513.78277117747</v>
      </c>
      <c r="J43" s="322">
        <f t="shared" si="76"/>
        <v>245128.99205851497</v>
      </c>
      <c r="K43" s="322">
        <f t="shared" si="76"/>
        <v>276414.52889108658</v>
      </c>
      <c r="L43" s="322">
        <f t="shared" si="76"/>
        <v>292337.70379200869</v>
      </c>
      <c r="M43" s="322">
        <f t="shared" si="76"/>
        <v>316661.47706008173</v>
      </c>
      <c r="N43" s="322">
        <f t="shared" si="76"/>
        <v>278073.28312544728</v>
      </c>
      <c r="O43" s="322">
        <f t="shared" si="76"/>
        <v>122645.65338804184</v>
      </c>
      <c r="P43" s="322">
        <f t="shared" si="76"/>
        <v>158914.16513859978</v>
      </c>
      <c r="Q43" s="322">
        <f t="shared" si="76"/>
        <v>190904.43902014036</v>
      </c>
      <c r="R43" s="322">
        <f t="shared" si="76"/>
        <v>219102.35875896882</v>
      </c>
      <c r="S43" s="322">
        <f t="shared" si="76"/>
        <v>158532.2066081872</v>
      </c>
      <c r="T43" s="322">
        <f t="shared" si="76"/>
        <v>-53242.129781955686</v>
      </c>
      <c r="U43" s="322">
        <f t="shared" si="76"/>
        <v>-25401.827089249353</v>
      </c>
      <c r="V43" s="323">
        <f t="shared" si="76"/>
        <v>11952.72602016119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0806-7EBB-4327-986B-BFE05D75EAFC}">
  <dimension ref="A1:AC106"/>
  <sheetViews>
    <sheetView workbookViewId="0">
      <selection activeCell="AC27" sqref="AC27"/>
    </sheetView>
  </sheetViews>
  <sheetFormatPr defaultRowHeight="15" x14ac:dyDescent="0.25"/>
  <cols>
    <col min="1" max="1" width="24.42578125" customWidth="1"/>
    <col min="2" max="2" width="11.85546875" style="66" customWidth="1"/>
    <col min="3" max="3" width="12.5703125" customWidth="1"/>
    <col min="4" max="4" width="3.28515625" customWidth="1"/>
    <col min="5" max="5" width="12.5703125" style="66" customWidth="1"/>
    <col min="6" max="6" width="12.5703125" customWidth="1"/>
    <col min="7" max="7" width="2.85546875" customWidth="1"/>
    <col min="8" max="8" width="12.5703125" style="66" customWidth="1"/>
    <col min="9" max="9" width="12.5703125" customWidth="1"/>
    <col min="10" max="10" width="3.7109375" customWidth="1"/>
    <col min="11" max="11" width="12.5703125" style="66" hidden="1" customWidth="1"/>
    <col min="12" max="12" width="12.5703125" hidden="1" customWidth="1"/>
    <col min="13" max="13" width="3.28515625" hidden="1" customWidth="1"/>
    <col min="14" max="14" width="12.5703125" style="66" hidden="1" customWidth="1"/>
    <col min="15" max="15" width="12.5703125" hidden="1" customWidth="1"/>
    <col min="16" max="16" width="3.140625" hidden="1" customWidth="1"/>
    <col min="17" max="18" width="12.5703125" hidden="1" customWidth="1"/>
    <col min="19" max="19" width="2.85546875" hidden="1" customWidth="1"/>
    <col min="20" max="20" width="12.5703125" style="66" customWidth="1"/>
    <col min="21" max="21" width="12.5703125" customWidth="1"/>
    <col min="22" max="22" width="5.7109375" customWidth="1"/>
    <col min="23" max="23" width="11" style="66" customWidth="1"/>
    <col min="24" max="24" width="10.140625" customWidth="1"/>
    <col min="25" max="25" width="10.28515625" style="262" customWidth="1"/>
    <col min="26" max="26" width="4.5703125" customWidth="1"/>
    <col min="28" max="28" width="10" customWidth="1"/>
  </cols>
  <sheetData>
    <row r="1" spans="1:29" s="232" customFormat="1" ht="18.75" x14ac:dyDescent="0.3">
      <c r="B1" s="233"/>
      <c r="C1" s="234" t="s">
        <v>161</v>
      </c>
      <c r="E1" s="235" t="s">
        <v>198</v>
      </c>
      <c r="F1" s="236"/>
      <c r="H1" s="235" t="s">
        <v>199</v>
      </c>
      <c r="I1" s="237"/>
      <c r="K1" s="235" t="s">
        <v>200</v>
      </c>
      <c r="L1" s="236"/>
      <c r="N1" s="235" t="s">
        <v>201</v>
      </c>
      <c r="O1" s="238"/>
      <c r="Q1" s="239" t="s">
        <v>202</v>
      </c>
      <c r="R1" s="238"/>
      <c r="T1" s="235" t="s">
        <v>203</v>
      </c>
      <c r="U1" s="238"/>
      <c r="W1" s="235" t="s">
        <v>38</v>
      </c>
      <c r="X1" s="240" t="s">
        <v>204</v>
      </c>
      <c r="Y1" s="241" t="s">
        <v>205</v>
      </c>
    </row>
    <row r="2" spans="1:29" s="244" customFormat="1" ht="15.75" x14ac:dyDescent="0.25">
      <c r="A2" s="185"/>
      <c r="B2" s="242" t="s">
        <v>206</v>
      </c>
      <c r="C2" s="243" t="s">
        <v>207</v>
      </c>
      <c r="E2" s="242" t="s">
        <v>206</v>
      </c>
      <c r="F2" s="243" t="s">
        <v>207</v>
      </c>
      <c r="H2" s="242" t="s">
        <v>206</v>
      </c>
      <c r="I2" s="243" t="s">
        <v>207</v>
      </c>
      <c r="K2" s="242" t="s">
        <v>206</v>
      </c>
      <c r="L2" s="243" t="s">
        <v>207</v>
      </c>
      <c r="N2" s="242" t="s">
        <v>206</v>
      </c>
      <c r="O2" s="243" t="s">
        <v>207</v>
      </c>
      <c r="Q2" s="242" t="s">
        <v>206</v>
      </c>
      <c r="R2" s="243" t="s">
        <v>207</v>
      </c>
      <c r="T2" s="242" t="s">
        <v>206</v>
      </c>
      <c r="U2" s="243" t="s">
        <v>207</v>
      </c>
      <c r="W2" s="245"/>
      <c r="X2" s="246"/>
      <c r="Y2" s="247"/>
    </row>
    <row r="3" spans="1:29" ht="19.5" thickBot="1" x14ac:dyDescent="0.35">
      <c r="A3" s="248" t="s">
        <v>208</v>
      </c>
      <c r="B3" s="249">
        <f>+'Dotatie per fonds'!E4</f>
        <v>5245.1790614065367</v>
      </c>
      <c r="C3" s="250">
        <v>514</v>
      </c>
      <c r="E3" s="249">
        <f>+'Dotatie per fonds'!E5</f>
        <v>13960.585005423058</v>
      </c>
      <c r="F3" s="250">
        <v>324</v>
      </c>
      <c r="H3" s="249">
        <f>+'Dotatie per fonds'!E6</f>
        <v>2417.3095114572134</v>
      </c>
      <c r="I3" s="250">
        <v>344</v>
      </c>
      <c r="K3" s="249">
        <v>0</v>
      </c>
      <c r="L3" s="250">
        <v>349</v>
      </c>
      <c r="N3" s="249">
        <v>0</v>
      </c>
      <c r="O3" s="250">
        <v>369</v>
      </c>
      <c r="Q3" s="251">
        <v>0</v>
      </c>
      <c r="R3" s="250">
        <v>35</v>
      </c>
      <c r="T3" s="249">
        <f>+'Dotatie per fonds'!E7</f>
        <v>3074.0180978139692</v>
      </c>
      <c r="U3" s="250">
        <v>29</v>
      </c>
      <c r="W3" s="252">
        <f>+B3+E3+H3+K3+N3+Q3+T3</f>
        <v>24697.091676100776</v>
      </c>
      <c r="X3" s="135"/>
      <c r="Y3" s="253"/>
    </row>
    <row r="4" spans="1:29" s="244" customFormat="1" ht="18.75" x14ac:dyDescent="0.3">
      <c r="A4" s="185" t="s">
        <v>209</v>
      </c>
      <c r="B4" s="242" t="s">
        <v>206</v>
      </c>
      <c r="C4" s="243" t="s">
        <v>207</v>
      </c>
      <c r="E4" s="242" t="s">
        <v>206</v>
      </c>
      <c r="F4" s="243" t="s">
        <v>207</v>
      </c>
      <c r="H4" s="242" t="s">
        <v>206</v>
      </c>
      <c r="I4" s="243" t="s">
        <v>207</v>
      </c>
      <c r="K4" s="242" t="s">
        <v>206</v>
      </c>
      <c r="L4" s="243" t="s">
        <v>207</v>
      </c>
      <c r="N4" s="242" t="s">
        <v>206</v>
      </c>
      <c r="O4" s="243" t="s">
        <v>207</v>
      </c>
      <c r="Q4" s="254" t="s">
        <v>206</v>
      </c>
      <c r="R4" s="243" t="s">
        <v>207</v>
      </c>
      <c r="T4" s="242" t="s">
        <v>206</v>
      </c>
      <c r="U4" s="243" t="s">
        <v>207</v>
      </c>
      <c r="W4" s="245"/>
      <c r="X4" s="246"/>
      <c r="Y4" s="247"/>
      <c r="AA4" s="266" t="s">
        <v>168</v>
      </c>
      <c r="AB4" s="268" t="s">
        <v>183</v>
      </c>
      <c r="AC4" s="267" t="s">
        <v>307</v>
      </c>
    </row>
    <row r="5" spans="1:29" x14ac:dyDescent="0.25">
      <c r="A5" t="s">
        <v>210</v>
      </c>
      <c r="B5" s="127">
        <f t="shared" ref="B5:B36" si="0">+C5/$C$3*$B$3</f>
        <v>71.432399668960613</v>
      </c>
      <c r="C5" s="226">
        <v>7</v>
      </c>
      <c r="E5" s="127">
        <f>+F5/$F$3*$E$3</f>
        <v>301.61757727765865</v>
      </c>
      <c r="F5" s="226">
        <v>7</v>
      </c>
      <c r="H5" s="127">
        <f>+I5/$I$3*$H$3</f>
        <v>49.18943773314097</v>
      </c>
      <c r="I5" s="226">
        <v>7</v>
      </c>
      <c r="K5" s="127">
        <f>+L5/$L$3*$K$3</f>
        <v>0</v>
      </c>
      <c r="L5" s="226">
        <v>7</v>
      </c>
      <c r="N5" s="127">
        <f>+O5/$O$3*$N$3</f>
        <v>0</v>
      </c>
      <c r="O5" s="226">
        <v>7</v>
      </c>
      <c r="Q5" s="134">
        <f>+R5/$R$3*$Q$3</f>
        <v>0</v>
      </c>
      <c r="R5" s="226">
        <v>1</v>
      </c>
      <c r="T5" s="127">
        <f>+U5/$U$3*$T$3</f>
        <v>0</v>
      </c>
      <c r="U5" s="226"/>
      <c r="W5" s="127">
        <f t="shared" ref="W5:W36" si="1">+B5+E5+H5+K5+N5+Q5+T5</f>
        <v>422.23941467976022</v>
      </c>
      <c r="X5" s="100">
        <f>+W5+W59+W85</f>
        <v>639.58309774581994</v>
      </c>
      <c r="Y5" s="253">
        <f>+X5/12</f>
        <v>53.298591478818331</v>
      </c>
      <c r="AA5" s="264">
        <v>57.285519287377923</v>
      </c>
      <c r="AB5" s="269">
        <f>+Y5-AA5</f>
        <v>-3.9869278085595923</v>
      </c>
      <c r="AC5" s="253">
        <f>12*AB5</f>
        <v>-47.843133702715107</v>
      </c>
    </row>
    <row r="6" spans="1:29" x14ac:dyDescent="0.25">
      <c r="A6" t="s">
        <v>211</v>
      </c>
      <c r="B6" s="127">
        <f t="shared" si="0"/>
        <v>61.227771144823386</v>
      </c>
      <c r="C6" s="226">
        <v>6</v>
      </c>
      <c r="E6" s="127">
        <f>+F6/$F$3*$E$3</f>
        <v>258.52935195227883</v>
      </c>
      <c r="F6" s="226">
        <v>6</v>
      </c>
      <c r="H6" s="127">
        <f t="shared" ref="H6:H69" si="2">+I6/$I$3*$H$3</f>
        <v>42.162375199835118</v>
      </c>
      <c r="I6" s="226">
        <v>6</v>
      </c>
      <c r="K6" s="127">
        <f t="shared" ref="K6:K69" si="3">+L6/$L$3*$K$3</f>
        <v>0</v>
      </c>
      <c r="L6" s="226">
        <v>6</v>
      </c>
      <c r="N6" s="127">
        <f t="shared" ref="N6:N69" si="4">+O6/$O$3*$N$3</f>
        <v>0</v>
      </c>
      <c r="O6" s="226">
        <v>6</v>
      </c>
      <c r="Q6" s="134">
        <f t="shared" ref="Q6:Q69" si="5">+R6/$R$3*$Q$3</f>
        <v>0</v>
      </c>
      <c r="R6" s="226">
        <v>1</v>
      </c>
      <c r="T6" s="127">
        <f t="shared" ref="T6:T69" si="6">+U6/$U$3*$T$3</f>
        <v>0</v>
      </c>
      <c r="U6" s="226"/>
      <c r="W6" s="127">
        <f t="shared" si="1"/>
        <v>361.91949829693738</v>
      </c>
      <c r="X6" s="100">
        <f>+W6+W39+W67</f>
        <v>579.2631813629971</v>
      </c>
      <c r="Y6" s="253">
        <f t="shared" ref="Y6:Y69" si="7">+X6/12</f>
        <v>48.271931780249759</v>
      </c>
      <c r="AA6" s="264">
        <v>51.723942848659256</v>
      </c>
      <c r="AB6" s="269">
        <f t="shared" ref="AB6:AB69" si="8">+Y6-AA6</f>
        <v>-3.4520110684094973</v>
      </c>
      <c r="AC6" s="253">
        <f t="shared" ref="AC6:AC69" si="9">12*AB6</f>
        <v>-41.424132820913968</v>
      </c>
    </row>
    <row r="7" spans="1:29" x14ac:dyDescent="0.25">
      <c r="A7" t="s">
        <v>212</v>
      </c>
      <c r="B7" s="127">
        <f t="shared" si="0"/>
        <v>51.023142620686158</v>
      </c>
      <c r="C7" s="226">
        <v>5</v>
      </c>
      <c r="E7" s="127">
        <f t="shared" ref="E7:E70" si="10">+F7/$F$3*$E$3</f>
        <v>215.44112662689903</v>
      </c>
      <c r="F7" s="226">
        <v>5</v>
      </c>
      <c r="H7" s="127">
        <f t="shared" si="2"/>
        <v>35.135312666529266</v>
      </c>
      <c r="I7" s="226">
        <v>5</v>
      </c>
      <c r="K7" s="127">
        <f t="shared" si="3"/>
        <v>0</v>
      </c>
      <c r="L7" s="226">
        <v>5</v>
      </c>
      <c r="N7" s="127">
        <f t="shared" si="4"/>
        <v>0</v>
      </c>
      <c r="O7" s="226">
        <v>5</v>
      </c>
      <c r="Q7" s="134">
        <f t="shared" si="5"/>
        <v>0</v>
      </c>
      <c r="R7" s="226">
        <v>1</v>
      </c>
      <c r="T7" s="127">
        <f t="shared" si="6"/>
        <v>0</v>
      </c>
      <c r="U7" s="226"/>
      <c r="W7" s="127">
        <f t="shared" si="1"/>
        <v>301.59958191411448</v>
      </c>
      <c r="X7" s="100">
        <f>+W7+W66</f>
        <v>361.91949829693738</v>
      </c>
      <c r="Y7" s="253">
        <f t="shared" si="7"/>
        <v>30.159958191411448</v>
      </c>
      <c r="AA7" s="264">
        <v>33.369458632311911</v>
      </c>
      <c r="AB7" s="269">
        <f t="shared" si="8"/>
        <v>-3.209500440900463</v>
      </c>
      <c r="AC7" s="253">
        <f t="shared" si="9"/>
        <v>-38.514005290805557</v>
      </c>
    </row>
    <row r="8" spans="1:29" x14ac:dyDescent="0.25">
      <c r="A8" t="s">
        <v>213</v>
      </c>
      <c r="B8" s="127">
        <f t="shared" si="0"/>
        <v>91.841656717235082</v>
      </c>
      <c r="C8" s="226">
        <v>9</v>
      </c>
      <c r="E8" s="127">
        <f t="shared" si="10"/>
        <v>387.79402792841825</v>
      </c>
      <c r="F8" s="226">
        <v>9</v>
      </c>
      <c r="H8" s="127">
        <f t="shared" si="2"/>
        <v>63.243562799752681</v>
      </c>
      <c r="I8" s="226">
        <v>9</v>
      </c>
      <c r="K8" s="127">
        <f t="shared" si="3"/>
        <v>0</v>
      </c>
      <c r="L8" s="226">
        <v>9</v>
      </c>
      <c r="N8" s="127">
        <f t="shared" si="4"/>
        <v>0</v>
      </c>
      <c r="O8" s="226">
        <v>9</v>
      </c>
      <c r="Q8" s="134">
        <f t="shared" si="5"/>
        <v>0</v>
      </c>
      <c r="R8" s="226">
        <v>1</v>
      </c>
      <c r="T8" s="127">
        <f t="shared" si="6"/>
        <v>0</v>
      </c>
      <c r="U8" s="226"/>
      <c r="W8" s="127">
        <f t="shared" si="1"/>
        <v>542.87924744540601</v>
      </c>
      <c r="X8" s="100">
        <f>+W8+W58+W73</f>
        <v>760.22293051146562</v>
      </c>
      <c r="Y8" s="253">
        <f t="shared" si="7"/>
        <v>63.351910875955468</v>
      </c>
      <c r="AA8" s="264">
        <v>68.408672164815229</v>
      </c>
      <c r="AB8" s="269">
        <f t="shared" si="8"/>
        <v>-5.0567612888597608</v>
      </c>
      <c r="AC8" s="253">
        <f t="shared" si="9"/>
        <v>-60.68113546631713</v>
      </c>
    </row>
    <row r="9" spans="1:29" x14ac:dyDescent="0.25">
      <c r="A9" t="s">
        <v>214</v>
      </c>
      <c r="B9" s="127">
        <f t="shared" si="0"/>
        <v>102.04628524137232</v>
      </c>
      <c r="C9" s="226">
        <v>10</v>
      </c>
      <c r="E9" s="127">
        <f t="shared" si="10"/>
        <v>430.88225325379807</v>
      </c>
      <c r="F9" s="226">
        <v>10</v>
      </c>
      <c r="H9" s="127">
        <f t="shared" si="2"/>
        <v>70.270625333058533</v>
      </c>
      <c r="I9" s="226">
        <v>10</v>
      </c>
      <c r="K9" s="127">
        <f t="shared" si="3"/>
        <v>0</v>
      </c>
      <c r="L9" s="226">
        <v>10</v>
      </c>
      <c r="N9" s="127">
        <f t="shared" si="4"/>
        <v>0</v>
      </c>
      <c r="O9" s="226">
        <v>10</v>
      </c>
      <c r="Q9" s="134">
        <f t="shared" si="5"/>
        <v>0</v>
      </c>
      <c r="R9" s="226">
        <v>1</v>
      </c>
      <c r="T9" s="127">
        <f t="shared" si="6"/>
        <v>0</v>
      </c>
      <c r="U9" s="226"/>
      <c r="W9" s="127">
        <f t="shared" si="1"/>
        <v>603.19916382822896</v>
      </c>
      <c r="X9" s="100">
        <f>+W9+W44+W92</f>
        <v>820.54284689428869</v>
      </c>
      <c r="Y9" s="253">
        <f t="shared" si="7"/>
        <v>68.378570574524062</v>
      </c>
      <c r="AA9" s="264">
        <v>73.970248603533875</v>
      </c>
      <c r="AB9" s="269">
        <f t="shared" si="8"/>
        <v>-5.5916780290098131</v>
      </c>
      <c r="AC9" s="253">
        <f t="shared" si="9"/>
        <v>-67.100136348117758</v>
      </c>
    </row>
    <row r="10" spans="1:29" x14ac:dyDescent="0.25">
      <c r="A10" t="s">
        <v>215</v>
      </c>
      <c r="B10" s="127">
        <f t="shared" si="0"/>
        <v>71.432399668960613</v>
      </c>
      <c r="C10" s="226">
        <v>7</v>
      </c>
      <c r="E10" s="127">
        <f t="shared" si="10"/>
        <v>301.61757727765865</v>
      </c>
      <c r="F10" s="226">
        <v>7</v>
      </c>
      <c r="H10" s="127">
        <f t="shared" si="2"/>
        <v>49.18943773314097</v>
      </c>
      <c r="I10" s="226">
        <v>7</v>
      </c>
      <c r="K10" s="127">
        <f t="shared" si="3"/>
        <v>0</v>
      </c>
      <c r="L10" s="226">
        <v>7</v>
      </c>
      <c r="N10" s="127">
        <f t="shared" si="4"/>
        <v>0</v>
      </c>
      <c r="O10" s="226">
        <v>7</v>
      </c>
      <c r="Q10" s="134">
        <f t="shared" si="5"/>
        <v>0</v>
      </c>
      <c r="R10" s="226">
        <v>1</v>
      </c>
      <c r="T10" s="127">
        <f t="shared" si="6"/>
        <v>0</v>
      </c>
      <c r="U10" s="226"/>
      <c r="W10" s="127">
        <f t="shared" si="1"/>
        <v>422.23941467976022</v>
      </c>
      <c r="X10" s="100">
        <f>+W10+W47+W81</f>
        <v>639.58309774581994</v>
      </c>
      <c r="Y10" s="253">
        <f t="shared" si="7"/>
        <v>53.298591478818331</v>
      </c>
      <c r="AA10" s="264">
        <v>57.285519287377923</v>
      </c>
      <c r="AB10" s="269">
        <f t="shared" si="8"/>
        <v>-3.9869278085595923</v>
      </c>
      <c r="AC10" s="253">
        <f t="shared" si="9"/>
        <v>-47.843133702715107</v>
      </c>
    </row>
    <row r="11" spans="1:29" x14ac:dyDescent="0.25">
      <c r="A11" t="s">
        <v>216</v>
      </c>
      <c r="B11" s="127">
        <f t="shared" si="0"/>
        <v>61.227771144823386</v>
      </c>
      <c r="C11" s="226">
        <v>6</v>
      </c>
      <c r="E11" s="127">
        <f t="shared" si="10"/>
        <v>258.52935195227883</v>
      </c>
      <c r="F11" s="226">
        <v>6</v>
      </c>
      <c r="H11" s="127">
        <f t="shared" si="2"/>
        <v>42.162375199835118</v>
      </c>
      <c r="I11" s="226">
        <v>6</v>
      </c>
      <c r="K11" s="127">
        <f t="shared" si="3"/>
        <v>0</v>
      </c>
      <c r="L11" s="226">
        <v>6</v>
      </c>
      <c r="N11" s="127">
        <f t="shared" si="4"/>
        <v>0</v>
      </c>
      <c r="O11" s="226">
        <v>6</v>
      </c>
      <c r="Q11" s="134">
        <f t="shared" si="5"/>
        <v>0</v>
      </c>
      <c r="R11" s="226">
        <v>1</v>
      </c>
      <c r="T11" s="127">
        <f t="shared" si="6"/>
        <v>0</v>
      </c>
      <c r="U11" s="226"/>
      <c r="W11" s="127">
        <f t="shared" si="1"/>
        <v>361.91949829693738</v>
      </c>
      <c r="X11" s="100">
        <f>+W11+W67</f>
        <v>422.23941467976027</v>
      </c>
      <c r="Y11" s="253">
        <f t="shared" si="7"/>
        <v>35.18661788998002</v>
      </c>
      <c r="AA11" s="264">
        <v>38.931035071030571</v>
      </c>
      <c r="AB11" s="269">
        <f t="shared" si="8"/>
        <v>-3.7444171810505509</v>
      </c>
      <c r="AC11" s="253">
        <f t="shared" si="9"/>
        <v>-44.933006172606611</v>
      </c>
    </row>
    <row r="12" spans="1:29" x14ac:dyDescent="0.25">
      <c r="A12" t="s">
        <v>217</v>
      </c>
      <c r="B12" s="127">
        <f t="shared" si="0"/>
        <v>91.841656717235082</v>
      </c>
      <c r="C12" s="226">
        <v>9</v>
      </c>
      <c r="E12" s="127">
        <f t="shared" si="10"/>
        <v>387.79402792841825</v>
      </c>
      <c r="F12" s="226">
        <v>9</v>
      </c>
      <c r="H12" s="127">
        <f t="shared" si="2"/>
        <v>63.243562799752681</v>
      </c>
      <c r="I12" s="226">
        <v>9</v>
      </c>
      <c r="K12" s="127">
        <f t="shared" si="3"/>
        <v>0</v>
      </c>
      <c r="L12" s="226">
        <v>9</v>
      </c>
      <c r="N12" s="127">
        <f t="shared" si="4"/>
        <v>0</v>
      </c>
      <c r="O12" s="226">
        <v>9</v>
      </c>
      <c r="Q12" s="134">
        <f t="shared" si="5"/>
        <v>0</v>
      </c>
      <c r="R12" s="226">
        <v>1</v>
      </c>
      <c r="T12" s="127">
        <f t="shared" si="6"/>
        <v>0</v>
      </c>
      <c r="U12" s="226"/>
      <c r="W12" s="127">
        <f t="shared" si="1"/>
        <v>542.87924744540601</v>
      </c>
      <c r="X12" s="100">
        <f>+W12+W43+W90</f>
        <v>760.22293051146562</v>
      </c>
      <c r="Y12" s="253">
        <f t="shared" si="7"/>
        <v>63.351910875955468</v>
      </c>
      <c r="AA12" s="264">
        <v>68.408672164815229</v>
      </c>
      <c r="AB12" s="269">
        <f t="shared" si="8"/>
        <v>-5.0567612888597608</v>
      </c>
      <c r="AC12" s="253">
        <f t="shared" si="9"/>
        <v>-60.68113546631713</v>
      </c>
    </row>
    <row r="13" spans="1:29" x14ac:dyDescent="0.25">
      <c r="A13" t="s">
        <v>218</v>
      </c>
      <c r="B13" s="127">
        <f t="shared" si="0"/>
        <v>61.227771144823386</v>
      </c>
      <c r="C13" s="226">
        <v>6</v>
      </c>
      <c r="E13" s="127">
        <f t="shared" si="10"/>
        <v>258.52935195227883</v>
      </c>
      <c r="F13" s="226">
        <v>6</v>
      </c>
      <c r="H13" s="127">
        <f t="shared" si="2"/>
        <v>42.162375199835118</v>
      </c>
      <c r="I13" s="226">
        <v>6</v>
      </c>
      <c r="K13" s="127">
        <f t="shared" si="3"/>
        <v>0</v>
      </c>
      <c r="L13" s="226">
        <v>6</v>
      </c>
      <c r="N13" s="127">
        <f t="shared" si="4"/>
        <v>0</v>
      </c>
      <c r="O13" s="226">
        <v>6</v>
      </c>
      <c r="Q13" s="134">
        <f t="shared" si="5"/>
        <v>0</v>
      </c>
      <c r="R13" s="226">
        <v>1</v>
      </c>
      <c r="T13" s="127">
        <f t="shared" si="6"/>
        <v>0</v>
      </c>
      <c r="U13" s="226"/>
      <c r="W13" s="127">
        <f t="shared" si="1"/>
        <v>361.91949829693738</v>
      </c>
      <c r="X13" s="100">
        <f>+W13+W93</f>
        <v>422.23941467976027</v>
      </c>
      <c r="Y13" s="253">
        <f t="shared" si="7"/>
        <v>35.18661788998002</v>
      </c>
      <c r="AA13" s="264">
        <v>38.931035071030571</v>
      </c>
      <c r="AB13" s="269">
        <f t="shared" si="8"/>
        <v>-3.7444171810505509</v>
      </c>
      <c r="AC13" s="253">
        <f t="shared" si="9"/>
        <v>-44.933006172606611</v>
      </c>
    </row>
    <row r="14" spans="1:29" x14ac:dyDescent="0.25">
      <c r="A14" t="s">
        <v>219</v>
      </c>
      <c r="B14" s="127">
        <f t="shared" si="0"/>
        <v>71.432399668960613</v>
      </c>
      <c r="C14" s="226">
        <v>7</v>
      </c>
      <c r="E14" s="127">
        <f t="shared" si="10"/>
        <v>301.61757727765865</v>
      </c>
      <c r="F14" s="226">
        <v>7</v>
      </c>
      <c r="H14" s="127">
        <f t="shared" si="2"/>
        <v>49.18943773314097</v>
      </c>
      <c r="I14" s="226">
        <v>7</v>
      </c>
      <c r="K14" s="127">
        <f t="shared" si="3"/>
        <v>0</v>
      </c>
      <c r="L14" s="226">
        <v>7</v>
      </c>
      <c r="N14" s="127">
        <f t="shared" si="4"/>
        <v>0</v>
      </c>
      <c r="O14" s="226">
        <v>7</v>
      </c>
      <c r="Q14" s="134">
        <f t="shared" si="5"/>
        <v>0</v>
      </c>
      <c r="R14" s="226">
        <v>1</v>
      </c>
      <c r="T14" s="127">
        <f t="shared" si="6"/>
        <v>0</v>
      </c>
      <c r="U14" s="226"/>
      <c r="W14" s="127">
        <f t="shared" si="1"/>
        <v>422.23941467976022</v>
      </c>
      <c r="X14" s="100">
        <f>+W14+W50+W84</f>
        <v>639.58309774581994</v>
      </c>
      <c r="Y14" s="253">
        <f t="shared" si="7"/>
        <v>53.298591478818331</v>
      </c>
      <c r="AA14" s="264">
        <v>57.285519287377923</v>
      </c>
      <c r="AB14" s="269">
        <f t="shared" si="8"/>
        <v>-3.9869278085595923</v>
      </c>
      <c r="AC14" s="253">
        <f t="shared" si="9"/>
        <v>-47.843133702715107</v>
      </c>
    </row>
    <row r="15" spans="1:29" x14ac:dyDescent="0.25">
      <c r="A15" t="s">
        <v>220</v>
      </c>
      <c r="B15" s="127">
        <f t="shared" si="0"/>
        <v>122.45554228964677</v>
      </c>
      <c r="C15" s="226">
        <v>12</v>
      </c>
      <c r="E15" s="127">
        <f t="shared" si="10"/>
        <v>0</v>
      </c>
      <c r="F15" s="226">
        <v>0</v>
      </c>
      <c r="H15" s="127">
        <f t="shared" si="2"/>
        <v>0</v>
      </c>
      <c r="I15" s="226">
        <v>0</v>
      </c>
      <c r="K15" s="127">
        <f t="shared" si="3"/>
        <v>0</v>
      </c>
      <c r="L15" s="226">
        <v>12</v>
      </c>
      <c r="N15" s="127">
        <f t="shared" si="4"/>
        <v>0</v>
      </c>
      <c r="O15" s="226">
        <v>12</v>
      </c>
      <c r="Q15" s="134">
        <f t="shared" si="5"/>
        <v>0</v>
      </c>
      <c r="R15" s="226">
        <v>1</v>
      </c>
      <c r="T15" s="127">
        <f t="shared" si="6"/>
        <v>0</v>
      </c>
      <c r="U15" s="226"/>
      <c r="W15" s="127">
        <f t="shared" si="1"/>
        <v>122.45554228964677</v>
      </c>
      <c r="X15" s="100">
        <f>+W15+W60+W74</f>
        <v>289.68393749702079</v>
      </c>
      <c r="Y15" s="253">
        <f t="shared" si="7"/>
        <v>24.140328124751733</v>
      </c>
      <c r="AA15" s="264">
        <v>26.165962252336868</v>
      </c>
      <c r="AB15" s="269">
        <f t="shared" si="8"/>
        <v>-2.0256341275851355</v>
      </c>
      <c r="AC15" s="273">
        <f t="shared" si="9"/>
        <v>-24.307609531021626</v>
      </c>
    </row>
    <row r="16" spans="1:29" x14ac:dyDescent="0.25">
      <c r="A16" t="s">
        <v>221</v>
      </c>
      <c r="B16" s="127">
        <f t="shared" si="0"/>
        <v>142.86479933792123</v>
      </c>
      <c r="C16" s="226">
        <v>14</v>
      </c>
      <c r="E16" s="127">
        <f t="shared" si="10"/>
        <v>603.23515455531731</v>
      </c>
      <c r="F16" s="226">
        <v>14</v>
      </c>
      <c r="H16" s="127">
        <f t="shared" si="2"/>
        <v>98.37887546628194</v>
      </c>
      <c r="I16" s="226">
        <v>14</v>
      </c>
      <c r="K16" s="127">
        <f t="shared" si="3"/>
        <v>0</v>
      </c>
      <c r="L16" s="226">
        <v>14</v>
      </c>
      <c r="N16" s="127">
        <f t="shared" si="4"/>
        <v>0</v>
      </c>
      <c r="O16" s="226">
        <v>14</v>
      </c>
      <c r="Q16" s="134">
        <f t="shared" si="5"/>
        <v>0</v>
      </c>
      <c r="R16" s="226">
        <v>1</v>
      </c>
      <c r="T16" s="127">
        <f t="shared" si="6"/>
        <v>0</v>
      </c>
      <c r="U16" s="226"/>
      <c r="W16" s="127">
        <f t="shared" si="1"/>
        <v>844.47882935952043</v>
      </c>
      <c r="X16" s="100">
        <f>+W16+W37+W79</f>
        <v>1061.82251242558</v>
      </c>
      <c r="Y16" s="253">
        <f t="shared" si="7"/>
        <v>88.485209368798337</v>
      </c>
      <c r="AA16" s="264">
        <v>96.216554358408473</v>
      </c>
      <c r="AB16" s="269">
        <f t="shared" si="8"/>
        <v>-7.7313449896101361</v>
      </c>
      <c r="AC16" s="253">
        <f t="shared" si="9"/>
        <v>-92.776139875321633</v>
      </c>
    </row>
    <row r="17" spans="1:29" x14ac:dyDescent="0.25">
      <c r="A17" t="s">
        <v>222</v>
      </c>
      <c r="B17" s="127">
        <f t="shared" si="0"/>
        <v>91.841656717235082</v>
      </c>
      <c r="C17" s="226">
        <v>9</v>
      </c>
      <c r="E17" s="127">
        <f t="shared" si="10"/>
        <v>387.79402792841825</v>
      </c>
      <c r="F17" s="226">
        <v>9</v>
      </c>
      <c r="H17" s="127">
        <f t="shared" si="2"/>
        <v>63.243562799752681</v>
      </c>
      <c r="I17" s="226">
        <v>9</v>
      </c>
      <c r="K17" s="127">
        <f t="shared" si="3"/>
        <v>0</v>
      </c>
      <c r="L17" s="226">
        <v>9</v>
      </c>
      <c r="N17" s="127">
        <f t="shared" si="4"/>
        <v>0</v>
      </c>
      <c r="O17" s="226">
        <v>9</v>
      </c>
      <c r="Q17" s="134">
        <f t="shared" si="5"/>
        <v>0</v>
      </c>
      <c r="R17" s="226">
        <v>1</v>
      </c>
      <c r="T17" s="127">
        <f t="shared" si="6"/>
        <v>0</v>
      </c>
      <c r="U17" s="226"/>
      <c r="W17" s="127">
        <f t="shared" si="1"/>
        <v>542.87924744540601</v>
      </c>
      <c r="X17" s="100">
        <f>+W17+W52+W78</f>
        <v>760.22293051146562</v>
      </c>
      <c r="Y17" s="253">
        <f t="shared" si="7"/>
        <v>63.351910875955468</v>
      </c>
      <c r="AA17" s="264">
        <v>68.408672164815229</v>
      </c>
      <c r="AB17" s="269">
        <f t="shared" si="8"/>
        <v>-5.0567612888597608</v>
      </c>
      <c r="AC17" s="253">
        <f t="shared" si="9"/>
        <v>-60.68113546631713</v>
      </c>
    </row>
    <row r="18" spans="1:29" x14ac:dyDescent="0.25">
      <c r="A18" t="s">
        <v>223</v>
      </c>
      <c r="B18" s="127">
        <f t="shared" si="0"/>
        <v>142.86479933792123</v>
      </c>
      <c r="C18" s="226">
        <v>14</v>
      </c>
      <c r="E18" s="127">
        <f t="shared" si="10"/>
        <v>603.23515455531731</v>
      </c>
      <c r="F18" s="226">
        <v>14</v>
      </c>
      <c r="H18" s="127">
        <f t="shared" si="2"/>
        <v>98.37887546628194</v>
      </c>
      <c r="I18" s="226">
        <v>14</v>
      </c>
      <c r="K18" s="127">
        <f t="shared" si="3"/>
        <v>0</v>
      </c>
      <c r="L18" s="226">
        <v>14</v>
      </c>
      <c r="N18" s="127">
        <f t="shared" si="4"/>
        <v>0</v>
      </c>
      <c r="O18" s="226">
        <v>14</v>
      </c>
      <c r="Q18" s="134">
        <f t="shared" si="5"/>
        <v>0</v>
      </c>
      <c r="R18" s="226">
        <v>1</v>
      </c>
      <c r="T18" s="127">
        <f t="shared" si="6"/>
        <v>0</v>
      </c>
      <c r="U18" s="226"/>
      <c r="W18" s="127">
        <f t="shared" si="1"/>
        <v>844.47882935952043</v>
      </c>
      <c r="X18" s="100">
        <f>+W18+W54+W91</f>
        <v>1061.82251242558</v>
      </c>
      <c r="Y18" s="253">
        <f t="shared" si="7"/>
        <v>88.485209368798337</v>
      </c>
      <c r="AA18" s="264">
        <v>96.216554358408473</v>
      </c>
      <c r="AB18" s="269">
        <f t="shared" si="8"/>
        <v>-7.7313449896101361</v>
      </c>
      <c r="AC18" s="253">
        <f t="shared" si="9"/>
        <v>-92.776139875321633</v>
      </c>
    </row>
    <row r="19" spans="1:29" x14ac:dyDescent="0.25">
      <c r="A19" t="s">
        <v>224</v>
      </c>
      <c r="B19" s="127">
        <f t="shared" si="0"/>
        <v>102.04628524137232</v>
      </c>
      <c r="C19" s="226">
        <v>10</v>
      </c>
      <c r="E19" s="127">
        <f t="shared" si="10"/>
        <v>430.88225325379807</v>
      </c>
      <c r="F19" s="226">
        <v>10</v>
      </c>
      <c r="H19" s="127">
        <f t="shared" si="2"/>
        <v>70.270625333058533</v>
      </c>
      <c r="I19" s="226">
        <v>10</v>
      </c>
      <c r="K19" s="127">
        <f t="shared" si="3"/>
        <v>0</v>
      </c>
      <c r="L19" s="226">
        <v>10</v>
      </c>
      <c r="N19" s="127">
        <f t="shared" si="4"/>
        <v>0</v>
      </c>
      <c r="O19" s="226">
        <v>10</v>
      </c>
      <c r="Q19" s="134">
        <f t="shared" si="5"/>
        <v>0</v>
      </c>
      <c r="R19" s="226">
        <v>1</v>
      </c>
      <c r="T19" s="127">
        <f t="shared" si="6"/>
        <v>0</v>
      </c>
      <c r="U19" s="226"/>
      <c r="W19" s="127">
        <f t="shared" si="1"/>
        <v>603.19916382822896</v>
      </c>
      <c r="X19" s="100">
        <f>+W19+W41+W97</f>
        <v>820.54284689428869</v>
      </c>
      <c r="Y19" s="253">
        <f t="shared" si="7"/>
        <v>68.378570574524062</v>
      </c>
      <c r="AA19" s="264">
        <v>73.970248603533875</v>
      </c>
      <c r="AB19" s="269">
        <f t="shared" si="8"/>
        <v>-5.5916780290098131</v>
      </c>
      <c r="AC19" s="253">
        <f t="shared" si="9"/>
        <v>-67.100136348117758</v>
      </c>
    </row>
    <row r="20" spans="1:29" x14ac:dyDescent="0.25">
      <c r="A20" t="s">
        <v>225</v>
      </c>
      <c r="B20" s="127">
        <f t="shared" si="0"/>
        <v>91.841656717235082</v>
      </c>
      <c r="C20" s="226">
        <v>9</v>
      </c>
      <c r="E20" s="127">
        <f t="shared" si="10"/>
        <v>387.79402792841825</v>
      </c>
      <c r="F20" s="226">
        <v>9</v>
      </c>
      <c r="H20" s="127">
        <f t="shared" si="2"/>
        <v>63.243562799752681</v>
      </c>
      <c r="I20" s="226">
        <v>9</v>
      </c>
      <c r="K20" s="127">
        <f t="shared" si="3"/>
        <v>0</v>
      </c>
      <c r="L20" s="226">
        <v>9</v>
      </c>
      <c r="N20" s="127">
        <f t="shared" si="4"/>
        <v>0</v>
      </c>
      <c r="O20" s="226">
        <v>9</v>
      </c>
      <c r="Q20" s="134">
        <f t="shared" si="5"/>
        <v>0</v>
      </c>
      <c r="R20" s="226">
        <v>1</v>
      </c>
      <c r="T20" s="127">
        <f t="shared" si="6"/>
        <v>0</v>
      </c>
      <c r="U20" s="226"/>
      <c r="W20" s="127">
        <f t="shared" si="1"/>
        <v>542.87924744540601</v>
      </c>
      <c r="X20" s="100">
        <f>+W20+W65+W76</f>
        <v>760.22293051146562</v>
      </c>
      <c r="Y20" s="253">
        <f t="shared" si="7"/>
        <v>63.351910875955468</v>
      </c>
      <c r="AA20" s="264">
        <v>68.408672164815229</v>
      </c>
      <c r="AB20" s="269">
        <f t="shared" si="8"/>
        <v>-5.0567612888597608</v>
      </c>
      <c r="AC20" s="253">
        <f t="shared" si="9"/>
        <v>-60.68113546631713</v>
      </c>
    </row>
    <row r="21" spans="1:29" x14ac:dyDescent="0.25">
      <c r="A21" t="s">
        <v>226</v>
      </c>
      <c r="B21" s="127">
        <f t="shared" si="0"/>
        <v>91.841656717235082</v>
      </c>
      <c r="C21" s="226">
        <v>9</v>
      </c>
      <c r="E21" s="127">
        <f t="shared" si="10"/>
        <v>387.79402792841825</v>
      </c>
      <c r="F21" s="226">
        <v>9</v>
      </c>
      <c r="H21" s="127">
        <f t="shared" si="2"/>
        <v>63.243562799752681</v>
      </c>
      <c r="I21" s="226">
        <v>9</v>
      </c>
      <c r="K21" s="127">
        <f t="shared" si="3"/>
        <v>0</v>
      </c>
      <c r="L21" s="226">
        <v>9</v>
      </c>
      <c r="N21" s="127">
        <f t="shared" si="4"/>
        <v>0</v>
      </c>
      <c r="O21" s="226">
        <v>9</v>
      </c>
      <c r="Q21" s="134">
        <f t="shared" si="5"/>
        <v>0</v>
      </c>
      <c r="R21" s="226">
        <v>1</v>
      </c>
      <c r="T21" s="127">
        <f t="shared" si="6"/>
        <v>0</v>
      </c>
      <c r="U21" s="226"/>
      <c r="W21" s="127">
        <f t="shared" si="1"/>
        <v>542.87924744540601</v>
      </c>
      <c r="X21" s="100">
        <f>+W21+W38+W95</f>
        <v>760.22293051146562</v>
      </c>
      <c r="Y21" s="253">
        <f t="shared" si="7"/>
        <v>63.351910875955468</v>
      </c>
      <c r="AA21" s="264">
        <v>68.408672164815229</v>
      </c>
      <c r="AB21" s="269">
        <f t="shared" si="8"/>
        <v>-5.0567612888597608</v>
      </c>
      <c r="AC21" s="253">
        <f t="shared" si="9"/>
        <v>-60.68113546631713</v>
      </c>
    </row>
    <row r="22" spans="1:29" x14ac:dyDescent="0.25">
      <c r="A22" t="s">
        <v>227</v>
      </c>
      <c r="B22" s="127">
        <f t="shared" si="0"/>
        <v>102.04628524137232</v>
      </c>
      <c r="C22" s="226">
        <v>10</v>
      </c>
      <c r="E22" s="127">
        <f t="shared" si="10"/>
        <v>430.88225325379807</v>
      </c>
      <c r="F22" s="226">
        <v>10</v>
      </c>
      <c r="H22" s="127">
        <f t="shared" si="2"/>
        <v>70.270625333058533</v>
      </c>
      <c r="I22" s="226">
        <v>10</v>
      </c>
      <c r="K22" s="127">
        <f t="shared" si="3"/>
        <v>0</v>
      </c>
      <c r="L22" s="226">
        <v>10</v>
      </c>
      <c r="N22" s="127">
        <f t="shared" si="4"/>
        <v>0</v>
      </c>
      <c r="O22" s="226">
        <v>10</v>
      </c>
      <c r="Q22" s="134">
        <f t="shared" si="5"/>
        <v>0</v>
      </c>
      <c r="R22" s="226">
        <v>1</v>
      </c>
      <c r="T22" s="127">
        <f t="shared" si="6"/>
        <v>0</v>
      </c>
      <c r="U22" s="226"/>
      <c r="W22" s="127">
        <f t="shared" si="1"/>
        <v>603.19916382822896</v>
      </c>
      <c r="X22" s="100">
        <f>+W22+W49+W72</f>
        <v>820.54284689428869</v>
      </c>
      <c r="Y22" s="253">
        <f t="shared" si="7"/>
        <v>68.378570574524062</v>
      </c>
      <c r="AA22" s="264">
        <v>73.970248603533875</v>
      </c>
      <c r="AB22" s="269">
        <f t="shared" si="8"/>
        <v>-5.5916780290098131</v>
      </c>
      <c r="AC22" s="253">
        <f t="shared" si="9"/>
        <v>-67.100136348117758</v>
      </c>
    </row>
    <row r="23" spans="1:29" x14ac:dyDescent="0.25">
      <c r="A23" t="s">
        <v>228</v>
      </c>
      <c r="B23" s="127">
        <f t="shared" si="0"/>
        <v>142.86479933792123</v>
      </c>
      <c r="C23" s="226">
        <v>14</v>
      </c>
      <c r="E23" s="127">
        <f t="shared" si="10"/>
        <v>603.23515455531731</v>
      </c>
      <c r="F23" s="226">
        <v>14</v>
      </c>
      <c r="H23" s="127">
        <f t="shared" si="2"/>
        <v>98.37887546628194</v>
      </c>
      <c r="I23" s="226">
        <v>14</v>
      </c>
      <c r="K23" s="127">
        <f t="shared" si="3"/>
        <v>0</v>
      </c>
      <c r="L23" s="226">
        <v>14</v>
      </c>
      <c r="N23" s="127">
        <f t="shared" si="4"/>
        <v>0</v>
      </c>
      <c r="O23" s="226">
        <v>14</v>
      </c>
      <c r="Q23" s="134">
        <f t="shared" si="5"/>
        <v>0</v>
      </c>
      <c r="R23" s="226">
        <v>1</v>
      </c>
      <c r="T23" s="127">
        <f t="shared" si="6"/>
        <v>0</v>
      </c>
      <c r="U23" s="226"/>
      <c r="W23" s="127">
        <f t="shared" si="1"/>
        <v>844.47882935952043</v>
      </c>
      <c r="X23" s="100">
        <f>+W23+W48+W87</f>
        <v>1061.82251242558</v>
      </c>
      <c r="Y23" s="253">
        <f t="shared" si="7"/>
        <v>88.485209368798337</v>
      </c>
      <c r="AA23" s="264">
        <v>96.216554358408473</v>
      </c>
      <c r="AB23" s="269">
        <f t="shared" si="8"/>
        <v>-7.7313449896101361</v>
      </c>
      <c r="AC23" s="253">
        <f t="shared" si="9"/>
        <v>-92.776139875321633</v>
      </c>
    </row>
    <row r="24" spans="1:29" x14ac:dyDescent="0.25">
      <c r="A24" t="s">
        <v>229</v>
      </c>
      <c r="B24" s="127">
        <f t="shared" si="0"/>
        <v>91.841656717235082</v>
      </c>
      <c r="C24" s="226">
        <v>9</v>
      </c>
      <c r="E24" s="127">
        <f t="shared" si="10"/>
        <v>387.79402792841825</v>
      </c>
      <c r="F24" s="226">
        <v>9</v>
      </c>
      <c r="H24" s="127">
        <f t="shared" si="2"/>
        <v>63.243562799752681</v>
      </c>
      <c r="I24" s="226">
        <v>9</v>
      </c>
      <c r="K24" s="127">
        <f t="shared" si="3"/>
        <v>0</v>
      </c>
      <c r="L24" s="226">
        <v>9</v>
      </c>
      <c r="N24" s="127">
        <f t="shared" si="4"/>
        <v>0</v>
      </c>
      <c r="O24" s="226">
        <v>9</v>
      </c>
      <c r="Q24" s="134">
        <f t="shared" si="5"/>
        <v>0</v>
      </c>
      <c r="R24" s="226">
        <v>1</v>
      </c>
      <c r="T24" s="127">
        <f t="shared" si="6"/>
        <v>0</v>
      </c>
      <c r="U24" s="226"/>
      <c r="W24" s="127">
        <f t="shared" si="1"/>
        <v>542.87924744540601</v>
      </c>
      <c r="X24" s="100">
        <f>+W24+W61+W68</f>
        <v>760.22293051146562</v>
      </c>
      <c r="Y24" s="253">
        <f t="shared" si="7"/>
        <v>63.351910875955468</v>
      </c>
      <c r="AA24" s="264">
        <v>68.408672164815229</v>
      </c>
      <c r="AB24" s="269">
        <f t="shared" si="8"/>
        <v>-5.0567612888597608</v>
      </c>
      <c r="AC24" s="253">
        <f t="shared" si="9"/>
        <v>-60.68113546631713</v>
      </c>
    </row>
    <row r="25" spans="1:29" x14ac:dyDescent="0.25">
      <c r="A25" t="s">
        <v>230</v>
      </c>
      <c r="B25" s="127">
        <f t="shared" si="0"/>
        <v>142.86479933792123</v>
      </c>
      <c r="C25" s="226">
        <v>14</v>
      </c>
      <c r="E25" s="127">
        <f t="shared" si="10"/>
        <v>603.23515455531731</v>
      </c>
      <c r="F25" s="226">
        <v>14</v>
      </c>
      <c r="H25" s="127">
        <f t="shared" si="2"/>
        <v>98.37887546628194</v>
      </c>
      <c r="I25" s="226">
        <v>14</v>
      </c>
      <c r="K25" s="127">
        <f t="shared" si="3"/>
        <v>0</v>
      </c>
      <c r="L25" s="226">
        <v>14</v>
      </c>
      <c r="N25" s="127">
        <f t="shared" si="4"/>
        <v>0</v>
      </c>
      <c r="O25" s="226">
        <v>14</v>
      </c>
      <c r="Q25" s="134">
        <f t="shared" si="5"/>
        <v>0</v>
      </c>
      <c r="R25" s="226">
        <v>1</v>
      </c>
      <c r="T25" s="127">
        <f t="shared" si="6"/>
        <v>0</v>
      </c>
      <c r="U25" s="226"/>
      <c r="W25" s="127">
        <f t="shared" si="1"/>
        <v>844.47882935952043</v>
      </c>
      <c r="X25" s="100">
        <f>+W25+W46+W69</f>
        <v>1061.82251242558</v>
      </c>
      <c r="Y25" s="253">
        <f t="shared" si="7"/>
        <v>88.485209368798337</v>
      </c>
      <c r="AA25" s="264">
        <v>96.216554358408473</v>
      </c>
      <c r="AB25" s="269">
        <f t="shared" si="8"/>
        <v>-7.7313449896101361</v>
      </c>
      <c r="AC25" s="253">
        <f t="shared" si="9"/>
        <v>-92.776139875321633</v>
      </c>
    </row>
    <row r="26" spans="1:29" x14ac:dyDescent="0.25">
      <c r="A26" t="s">
        <v>231</v>
      </c>
      <c r="B26" s="127">
        <f t="shared" si="0"/>
        <v>112.25091376550954</v>
      </c>
      <c r="C26" s="226">
        <v>11</v>
      </c>
      <c r="E26" s="127">
        <f t="shared" si="10"/>
        <v>0</v>
      </c>
      <c r="F26" s="226">
        <v>0</v>
      </c>
      <c r="H26" s="127">
        <f t="shared" si="2"/>
        <v>0</v>
      </c>
      <c r="I26" s="226">
        <v>0</v>
      </c>
      <c r="K26" s="127">
        <f t="shared" si="3"/>
        <v>0</v>
      </c>
      <c r="L26" s="226">
        <v>11</v>
      </c>
      <c r="N26" s="127">
        <f t="shared" si="4"/>
        <v>0</v>
      </c>
      <c r="O26" s="226">
        <v>11</v>
      </c>
      <c r="Q26" s="134">
        <f t="shared" si="5"/>
        <v>0</v>
      </c>
      <c r="R26" s="226">
        <v>1</v>
      </c>
      <c r="T26" s="127">
        <f t="shared" si="6"/>
        <v>0</v>
      </c>
      <c r="U26" s="226"/>
      <c r="W26" s="127">
        <f t="shared" si="1"/>
        <v>112.25091376550954</v>
      </c>
      <c r="X26" s="100">
        <f>+W26+W53+W75</f>
        <v>279.47930897288359</v>
      </c>
      <c r="Y26" s="253">
        <f t="shared" si="7"/>
        <v>23.289942414406966</v>
      </c>
      <c r="AA26" s="264">
        <v>25.137265754282385</v>
      </c>
      <c r="AB26" s="269">
        <f t="shared" si="8"/>
        <v>-1.8473233398754196</v>
      </c>
      <c r="AC26" s="273">
        <f t="shared" si="9"/>
        <v>-22.167880078505036</v>
      </c>
    </row>
    <row r="27" spans="1:29" x14ac:dyDescent="0.25">
      <c r="A27" t="s">
        <v>232</v>
      </c>
      <c r="B27" s="127">
        <f t="shared" si="0"/>
        <v>142.86479933792123</v>
      </c>
      <c r="C27" s="226">
        <v>14</v>
      </c>
      <c r="E27" s="127">
        <f t="shared" si="10"/>
        <v>603.23515455531731</v>
      </c>
      <c r="F27" s="226">
        <v>14</v>
      </c>
      <c r="H27" s="127">
        <f t="shared" si="2"/>
        <v>98.37887546628194</v>
      </c>
      <c r="I27" s="226">
        <v>14</v>
      </c>
      <c r="K27" s="127">
        <f t="shared" si="3"/>
        <v>0</v>
      </c>
      <c r="L27" s="226">
        <v>14</v>
      </c>
      <c r="N27" s="127">
        <f t="shared" si="4"/>
        <v>0</v>
      </c>
      <c r="O27" s="226">
        <v>14</v>
      </c>
      <c r="Q27" s="134">
        <f t="shared" si="5"/>
        <v>0</v>
      </c>
      <c r="R27" s="226">
        <v>1</v>
      </c>
      <c r="T27" s="127">
        <f t="shared" si="6"/>
        <v>0</v>
      </c>
      <c r="U27" s="226"/>
      <c r="W27" s="127">
        <f t="shared" si="1"/>
        <v>844.47882935952043</v>
      </c>
      <c r="X27" s="100">
        <f>+W27+W62+W94</f>
        <v>1061.82251242558</v>
      </c>
      <c r="Y27" s="253">
        <f t="shared" si="7"/>
        <v>88.485209368798337</v>
      </c>
      <c r="AA27" s="264">
        <v>96.216554358408473</v>
      </c>
      <c r="AB27" s="269">
        <f t="shared" si="8"/>
        <v>-7.7313449896101361</v>
      </c>
      <c r="AC27" s="253">
        <f t="shared" si="9"/>
        <v>-92.776139875321633</v>
      </c>
    </row>
    <row r="28" spans="1:29" x14ac:dyDescent="0.25">
      <c r="A28" t="s">
        <v>233</v>
      </c>
      <c r="B28" s="127">
        <f t="shared" si="0"/>
        <v>91.841656717235082</v>
      </c>
      <c r="C28" s="226">
        <v>9</v>
      </c>
      <c r="E28" s="127">
        <f t="shared" si="10"/>
        <v>387.79402792841825</v>
      </c>
      <c r="F28" s="226">
        <v>9</v>
      </c>
      <c r="H28" s="127">
        <f t="shared" si="2"/>
        <v>63.243562799752681</v>
      </c>
      <c r="I28" s="226">
        <v>9</v>
      </c>
      <c r="K28" s="127">
        <f t="shared" si="3"/>
        <v>0</v>
      </c>
      <c r="L28" s="226">
        <v>9</v>
      </c>
      <c r="N28" s="127">
        <f t="shared" si="4"/>
        <v>0</v>
      </c>
      <c r="O28" s="226">
        <v>9</v>
      </c>
      <c r="Q28" s="134">
        <f t="shared" si="5"/>
        <v>0</v>
      </c>
      <c r="R28" s="226">
        <v>1</v>
      </c>
      <c r="T28" s="127">
        <f t="shared" si="6"/>
        <v>0</v>
      </c>
      <c r="U28" s="226"/>
      <c r="W28" s="127">
        <f t="shared" si="1"/>
        <v>542.87924744540601</v>
      </c>
      <c r="X28" s="100">
        <f>+W28+W45+W82</f>
        <v>760.22293051146562</v>
      </c>
      <c r="Y28" s="253">
        <f t="shared" si="7"/>
        <v>63.351910875955468</v>
      </c>
      <c r="AA28" s="264">
        <v>68.408672164815229</v>
      </c>
      <c r="AB28" s="269">
        <f t="shared" si="8"/>
        <v>-5.0567612888597608</v>
      </c>
      <c r="AC28" s="253">
        <f t="shared" si="9"/>
        <v>-60.68113546631713</v>
      </c>
    </row>
    <row r="29" spans="1:29" x14ac:dyDescent="0.25">
      <c r="A29" t="s">
        <v>234</v>
      </c>
      <c r="B29" s="127">
        <f t="shared" si="0"/>
        <v>142.86479933792123</v>
      </c>
      <c r="C29" s="226">
        <v>14</v>
      </c>
      <c r="E29" s="127">
        <f t="shared" si="10"/>
        <v>603.23515455531731</v>
      </c>
      <c r="F29" s="226">
        <v>14</v>
      </c>
      <c r="H29" s="127">
        <f t="shared" si="2"/>
        <v>98.37887546628194</v>
      </c>
      <c r="I29" s="226">
        <v>14</v>
      </c>
      <c r="K29" s="127">
        <f t="shared" si="3"/>
        <v>0</v>
      </c>
      <c r="L29" s="226">
        <v>14</v>
      </c>
      <c r="N29" s="127">
        <f t="shared" si="4"/>
        <v>0</v>
      </c>
      <c r="O29" s="226">
        <v>14</v>
      </c>
      <c r="Q29" s="134">
        <f t="shared" si="5"/>
        <v>0</v>
      </c>
      <c r="R29" s="226">
        <v>1</v>
      </c>
      <c r="T29" s="127">
        <f t="shared" si="6"/>
        <v>0</v>
      </c>
      <c r="U29" s="226"/>
      <c r="W29" s="127">
        <f t="shared" si="1"/>
        <v>844.47882935952043</v>
      </c>
      <c r="X29" s="100">
        <f>+W29+W53+W88</f>
        <v>1061.82251242558</v>
      </c>
      <c r="Y29" s="253">
        <f t="shared" si="7"/>
        <v>88.485209368798337</v>
      </c>
      <c r="AA29" s="264">
        <v>96.216554358408473</v>
      </c>
      <c r="AB29" s="269">
        <f t="shared" si="8"/>
        <v>-7.7313449896101361</v>
      </c>
      <c r="AC29" s="253">
        <f t="shared" si="9"/>
        <v>-92.776139875321633</v>
      </c>
    </row>
    <row r="30" spans="1:29" x14ac:dyDescent="0.25">
      <c r="A30" t="s">
        <v>235</v>
      </c>
      <c r="B30" s="127">
        <f t="shared" si="0"/>
        <v>102.04628524137232</v>
      </c>
      <c r="C30" s="226">
        <v>10</v>
      </c>
      <c r="E30" s="127">
        <f t="shared" si="10"/>
        <v>430.88225325379807</v>
      </c>
      <c r="F30" s="226">
        <v>10</v>
      </c>
      <c r="H30" s="127">
        <f t="shared" si="2"/>
        <v>70.270625333058533</v>
      </c>
      <c r="I30" s="226">
        <v>10</v>
      </c>
      <c r="K30" s="127">
        <f t="shared" si="3"/>
        <v>0</v>
      </c>
      <c r="L30" s="226">
        <v>10</v>
      </c>
      <c r="N30" s="127">
        <f t="shared" si="4"/>
        <v>0</v>
      </c>
      <c r="O30" s="226">
        <v>10</v>
      </c>
      <c r="Q30" s="134">
        <f t="shared" si="5"/>
        <v>0</v>
      </c>
      <c r="R30" s="226">
        <v>1</v>
      </c>
      <c r="T30" s="127">
        <f t="shared" si="6"/>
        <v>0</v>
      </c>
      <c r="U30" s="226"/>
      <c r="W30" s="127">
        <f t="shared" si="1"/>
        <v>603.19916382822896</v>
      </c>
      <c r="X30" s="100">
        <f>+W30+W63+W96</f>
        <v>820.54284689428869</v>
      </c>
      <c r="Y30" s="253">
        <f t="shared" si="7"/>
        <v>68.378570574524062</v>
      </c>
      <c r="AA30" s="264">
        <v>73.970248603533875</v>
      </c>
      <c r="AB30" s="269">
        <f t="shared" si="8"/>
        <v>-5.5916780290098131</v>
      </c>
      <c r="AC30" s="253">
        <f t="shared" si="9"/>
        <v>-67.100136348117758</v>
      </c>
    </row>
    <row r="31" spans="1:29" x14ac:dyDescent="0.25">
      <c r="A31" t="s">
        <v>236</v>
      </c>
      <c r="B31" s="127">
        <f t="shared" si="0"/>
        <v>122.45554228964677</v>
      </c>
      <c r="C31" s="226">
        <v>12</v>
      </c>
      <c r="E31" s="127">
        <f t="shared" si="10"/>
        <v>517.05870390455766</v>
      </c>
      <c r="F31" s="226">
        <v>12</v>
      </c>
      <c r="H31" s="127">
        <f t="shared" si="2"/>
        <v>84.324750399670236</v>
      </c>
      <c r="I31" s="226">
        <v>12</v>
      </c>
      <c r="K31" s="127">
        <f t="shared" si="3"/>
        <v>0</v>
      </c>
      <c r="L31" s="226">
        <v>12</v>
      </c>
      <c r="N31" s="127">
        <f t="shared" si="4"/>
        <v>0</v>
      </c>
      <c r="O31" s="226">
        <v>12</v>
      </c>
      <c r="Q31" s="134">
        <f t="shared" si="5"/>
        <v>0</v>
      </c>
      <c r="R31" s="226">
        <v>1</v>
      </c>
      <c r="T31" s="127">
        <f t="shared" si="6"/>
        <v>0</v>
      </c>
      <c r="U31" s="226"/>
      <c r="W31" s="127">
        <f t="shared" si="1"/>
        <v>723.83899659387475</v>
      </c>
      <c r="X31" s="100">
        <f>+W31+W40+W80</f>
        <v>941.18267965993437</v>
      </c>
      <c r="Y31" s="253">
        <f t="shared" si="7"/>
        <v>78.431889971661192</v>
      </c>
      <c r="AA31" s="264">
        <v>85.093401480971167</v>
      </c>
      <c r="AB31" s="269">
        <f t="shared" si="8"/>
        <v>-6.6615115093099746</v>
      </c>
      <c r="AC31" s="253">
        <f t="shared" si="9"/>
        <v>-79.938138111719695</v>
      </c>
    </row>
    <row r="32" spans="1:29" x14ac:dyDescent="0.25">
      <c r="A32" t="s">
        <v>237</v>
      </c>
      <c r="B32" s="127">
        <f t="shared" si="0"/>
        <v>122.45554228964677</v>
      </c>
      <c r="C32" s="226">
        <v>12</v>
      </c>
      <c r="E32" s="127">
        <f t="shared" si="10"/>
        <v>517.05870390455766</v>
      </c>
      <c r="F32" s="226">
        <v>12</v>
      </c>
      <c r="H32" s="127">
        <f t="shared" si="2"/>
        <v>84.324750399670236</v>
      </c>
      <c r="I32" s="226">
        <v>12</v>
      </c>
      <c r="K32" s="127">
        <f t="shared" si="3"/>
        <v>0</v>
      </c>
      <c r="L32" s="226">
        <v>12</v>
      </c>
      <c r="N32" s="127">
        <f t="shared" si="4"/>
        <v>0</v>
      </c>
      <c r="O32" s="226">
        <v>12</v>
      </c>
      <c r="Q32" s="134">
        <f t="shared" si="5"/>
        <v>0</v>
      </c>
      <c r="R32" s="226">
        <v>1</v>
      </c>
      <c r="T32" s="127">
        <f t="shared" si="6"/>
        <v>0</v>
      </c>
      <c r="U32" s="226"/>
      <c r="W32" s="127">
        <f t="shared" si="1"/>
        <v>723.83899659387475</v>
      </c>
      <c r="X32" s="100">
        <f>+W32+W64+W70</f>
        <v>941.18267965993437</v>
      </c>
      <c r="Y32" s="253">
        <f t="shared" si="7"/>
        <v>78.431889971661192</v>
      </c>
      <c r="AA32" s="264">
        <v>85.093401480971167</v>
      </c>
      <c r="AB32" s="269">
        <f t="shared" si="8"/>
        <v>-6.6615115093099746</v>
      </c>
      <c r="AC32" s="253">
        <f t="shared" si="9"/>
        <v>-79.938138111719695</v>
      </c>
    </row>
    <row r="33" spans="1:29" x14ac:dyDescent="0.25">
      <c r="A33" t="s">
        <v>238</v>
      </c>
      <c r="B33" s="127">
        <f t="shared" si="0"/>
        <v>102.04628524137232</v>
      </c>
      <c r="C33" s="226">
        <v>10</v>
      </c>
      <c r="E33" s="127">
        <f t="shared" si="10"/>
        <v>430.88225325379807</v>
      </c>
      <c r="F33" s="226">
        <v>10</v>
      </c>
      <c r="H33" s="127">
        <f t="shared" si="2"/>
        <v>70.270625333058533</v>
      </c>
      <c r="I33" s="226">
        <v>10</v>
      </c>
      <c r="K33" s="127">
        <f t="shared" si="3"/>
        <v>0</v>
      </c>
      <c r="L33" s="226">
        <v>10</v>
      </c>
      <c r="N33" s="127">
        <f t="shared" si="4"/>
        <v>0</v>
      </c>
      <c r="O33" s="226">
        <v>10</v>
      </c>
      <c r="Q33" s="134">
        <f t="shared" si="5"/>
        <v>0</v>
      </c>
      <c r="R33" s="226">
        <v>1</v>
      </c>
      <c r="T33" s="127">
        <f t="shared" si="6"/>
        <v>0</v>
      </c>
      <c r="U33" s="226"/>
      <c r="W33" s="127">
        <f t="shared" si="1"/>
        <v>603.19916382822896</v>
      </c>
      <c r="X33" s="100">
        <f>+W33+W51+W83</f>
        <v>820.54284689428869</v>
      </c>
      <c r="Y33" s="253">
        <f t="shared" si="7"/>
        <v>68.378570574524062</v>
      </c>
      <c r="AA33" s="264">
        <v>73.970248603533875</v>
      </c>
      <c r="AB33" s="269">
        <f t="shared" si="8"/>
        <v>-5.5916780290098131</v>
      </c>
      <c r="AC33" s="253">
        <f t="shared" si="9"/>
        <v>-67.100136348117758</v>
      </c>
    </row>
    <row r="34" spans="1:29" x14ac:dyDescent="0.25">
      <c r="A34" t="s">
        <v>239</v>
      </c>
      <c r="B34" s="127">
        <f t="shared" si="0"/>
        <v>102.04628524137232</v>
      </c>
      <c r="C34" s="226">
        <v>10</v>
      </c>
      <c r="E34" s="127">
        <f t="shared" si="10"/>
        <v>430.88225325379807</v>
      </c>
      <c r="F34" s="226">
        <v>10</v>
      </c>
      <c r="H34" s="127">
        <f t="shared" si="2"/>
        <v>70.270625333058533</v>
      </c>
      <c r="I34" s="226">
        <v>10</v>
      </c>
      <c r="K34" s="127">
        <f t="shared" si="3"/>
        <v>0</v>
      </c>
      <c r="L34" s="226">
        <v>10</v>
      </c>
      <c r="N34" s="127">
        <f t="shared" si="4"/>
        <v>0</v>
      </c>
      <c r="O34" s="226">
        <v>10</v>
      </c>
      <c r="Q34" s="134">
        <f t="shared" si="5"/>
        <v>0</v>
      </c>
      <c r="R34" s="226">
        <v>1</v>
      </c>
      <c r="T34" s="127">
        <f t="shared" si="6"/>
        <v>0</v>
      </c>
      <c r="U34" s="226"/>
      <c r="W34" s="127">
        <f t="shared" si="1"/>
        <v>603.19916382822896</v>
      </c>
      <c r="X34" s="100">
        <f>+W34+W56+W86</f>
        <v>820.54284689428869</v>
      </c>
      <c r="Y34" s="253">
        <f t="shared" si="7"/>
        <v>68.378570574524062</v>
      </c>
      <c r="AA34" s="264">
        <v>73.970248603533875</v>
      </c>
      <c r="AB34" s="269">
        <f t="shared" si="8"/>
        <v>-5.5916780290098131</v>
      </c>
      <c r="AC34" s="253">
        <f t="shared" si="9"/>
        <v>-67.100136348117758</v>
      </c>
    </row>
    <row r="35" spans="1:29" x14ac:dyDescent="0.25">
      <c r="A35" t="s">
        <v>240</v>
      </c>
      <c r="B35" s="127">
        <f t="shared" si="0"/>
        <v>91.841656717235082</v>
      </c>
      <c r="C35" s="226">
        <v>9</v>
      </c>
      <c r="E35" s="127">
        <f t="shared" si="10"/>
        <v>387.79402792841825</v>
      </c>
      <c r="F35" s="226">
        <v>9</v>
      </c>
      <c r="H35" s="127">
        <f t="shared" si="2"/>
        <v>63.243562799752681</v>
      </c>
      <c r="I35" s="226">
        <v>9</v>
      </c>
      <c r="K35" s="127">
        <f t="shared" si="3"/>
        <v>0</v>
      </c>
      <c r="L35" s="226">
        <v>9</v>
      </c>
      <c r="N35" s="127">
        <f t="shared" si="4"/>
        <v>0</v>
      </c>
      <c r="O35" s="226">
        <v>9</v>
      </c>
      <c r="Q35" s="134">
        <f t="shared" si="5"/>
        <v>0</v>
      </c>
      <c r="R35" s="226">
        <v>1</v>
      </c>
      <c r="T35" s="127">
        <f t="shared" si="6"/>
        <v>0</v>
      </c>
      <c r="U35" s="226"/>
      <c r="W35" s="127">
        <f t="shared" si="1"/>
        <v>542.87924744540601</v>
      </c>
      <c r="X35" s="100">
        <f>+W35+W42+W89</f>
        <v>760.22293051146562</v>
      </c>
      <c r="Y35" s="253">
        <f t="shared" si="7"/>
        <v>63.351910875955468</v>
      </c>
      <c r="AA35" s="264">
        <v>68.408672164815229</v>
      </c>
      <c r="AB35" s="269">
        <f t="shared" si="8"/>
        <v>-5.0567612888597608</v>
      </c>
      <c r="AC35" s="253">
        <f t="shared" si="9"/>
        <v>-60.68113546631713</v>
      </c>
    </row>
    <row r="36" spans="1:29" x14ac:dyDescent="0.25">
      <c r="A36" t="s">
        <v>241</v>
      </c>
      <c r="B36" s="127">
        <f t="shared" si="0"/>
        <v>102.04628524137232</v>
      </c>
      <c r="C36" s="226">
        <v>10</v>
      </c>
      <c r="E36" s="127">
        <f t="shared" si="10"/>
        <v>430.88225325379807</v>
      </c>
      <c r="F36" s="226">
        <v>10</v>
      </c>
      <c r="H36" s="127">
        <f t="shared" si="2"/>
        <v>70.270625333058533</v>
      </c>
      <c r="I36" s="226">
        <v>10</v>
      </c>
      <c r="K36" s="127">
        <f t="shared" si="3"/>
        <v>0</v>
      </c>
      <c r="L36" s="226">
        <v>10</v>
      </c>
      <c r="N36" s="127">
        <f t="shared" si="4"/>
        <v>0</v>
      </c>
      <c r="O36" s="226">
        <v>10</v>
      </c>
      <c r="Q36" s="134">
        <f t="shared" si="5"/>
        <v>0</v>
      </c>
      <c r="R36" s="226">
        <v>1</v>
      </c>
      <c r="T36" s="127">
        <f t="shared" si="6"/>
        <v>0</v>
      </c>
      <c r="U36" s="226"/>
      <c r="W36" s="127">
        <f t="shared" si="1"/>
        <v>603.19916382822896</v>
      </c>
      <c r="X36" s="100">
        <f>+W36+W55+W77</f>
        <v>820.54284689428869</v>
      </c>
      <c r="Y36" s="253">
        <f t="shared" si="7"/>
        <v>68.378570574524062</v>
      </c>
      <c r="AA36" s="264">
        <v>73.970248603533875</v>
      </c>
      <c r="AB36" s="269">
        <f t="shared" si="8"/>
        <v>-5.5916780290098131</v>
      </c>
      <c r="AC36" s="253">
        <f t="shared" si="9"/>
        <v>-67.100136348117758</v>
      </c>
    </row>
    <row r="37" spans="1:29" x14ac:dyDescent="0.25">
      <c r="A37" t="s">
        <v>242</v>
      </c>
      <c r="B37" s="127">
        <f t="shared" ref="B37:B68" si="11">+C37/$C$3*$B$3</f>
        <v>51.023142620686158</v>
      </c>
      <c r="C37" s="226">
        <v>5</v>
      </c>
      <c r="E37" s="127">
        <f t="shared" si="10"/>
        <v>0</v>
      </c>
      <c r="F37" s="226">
        <v>0</v>
      </c>
      <c r="H37" s="127">
        <f t="shared" si="2"/>
        <v>0</v>
      </c>
      <c r="I37" s="226">
        <v>0</v>
      </c>
      <c r="K37" s="127">
        <f t="shared" si="3"/>
        <v>0</v>
      </c>
      <c r="L37" s="226">
        <v>0</v>
      </c>
      <c r="N37" s="127">
        <f t="shared" si="4"/>
        <v>0</v>
      </c>
      <c r="O37" s="226">
        <v>0</v>
      </c>
      <c r="Q37" s="134">
        <f t="shared" si="5"/>
        <v>0</v>
      </c>
      <c r="R37" s="226">
        <v>0</v>
      </c>
      <c r="T37" s="127">
        <f t="shared" si="6"/>
        <v>106.00062406255066</v>
      </c>
      <c r="U37" s="226">
        <v>1</v>
      </c>
      <c r="W37" s="127">
        <f t="shared" ref="W37:W68" si="12">+B37+E37+H37+K37+N37+Q37+T37</f>
        <v>157.02376668323683</v>
      </c>
      <c r="X37" s="135"/>
      <c r="Y37" s="253">
        <f t="shared" si="7"/>
        <v>0</v>
      </c>
      <c r="AA37" s="264">
        <v>0</v>
      </c>
      <c r="AB37" s="269">
        <f t="shared" si="8"/>
        <v>0</v>
      </c>
      <c r="AC37" s="253">
        <f t="shared" si="9"/>
        <v>0</v>
      </c>
    </row>
    <row r="38" spans="1:29" x14ac:dyDescent="0.25">
      <c r="A38" t="s">
        <v>243</v>
      </c>
      <c r="B38" s="127">
        <f t="shared" si="11"/>
        <v>51.023142620686158</v>
      </c>
      <c r="C38" s="226">
        <v>5</v>
      </c>
      <c r="E38" s="127">
        <f t="shared" si="10"/>
        <v>0</v>
      </c>
      <c r="F38" s="226">
        <v>0</v>
      </c>
      <c r="H38" s="127">
        <f t="shared" si="2"/>
        <v>0</v>
      </c>
      <c r="I38" s="226">
        <v>0</v>
      </c>
      <c r="K38" s="127">
        <f t="shared" si="3"/>
        <v>0</v>
      </c>
      <c r="L38" s="226">
        <v>0</v>
      </c>
      <c r="N38" s="127">
        <f t="shared" si="4"/>
        <v>0</v>
      </c>
      <c r="O38" s="226">
        <v>0</v>
      </c>
      <c r="Q38" s="134">
        <f t="shared" si="5"/>
        <v>0</v>
      </c>
      <c r="R38" s="226">
        <v>0</v>
      </c>
      <c r="T38" s="127">
        <f t="shared" si="6"/>
        <v>106.00062406255066</v>
      </c>
      <c r="U38" s="226">
        <v>1</v>
      </c>
      <c r="W38" s="127">
        <f t="shared" si="12"/>
        <v>157.02376668323683</v>
      </c>
      <c r="X38" s="135"/>
      <c r="Y38" s="253">
        <f t="shared" si="7"/>
        <v>0</v>
      </c>
      <c r="AA38" s="264">
        <v>0</v>
      </c>
      <c r="AB38" s="269">
        <f t="shared" si="8"/>
        <v>0</v>
      </c>
      <c r="AC38" s="253">
        <f t="shared" si="9"/>
        <v>0</v>
      </c>
    </row>
    <row r="39" spans="1:29" x14ac:dyDescent="0.25">
      <c r="A39" t="s">
        <v>244</v>
      </c>
      <c r="B39" s="127">
        <f t="shared" si="11"/>
        <v>51.023142620686158</v>
      </c>
      <c r="C39" s="226">
        <v>5</v>
      </c>
      <c r="E39" s="127">
        <f t="shared" si="10"/>
        <v>0</v>
      </c>
      <c r="F39" s="226">
        <v>0</v>
      </c>
      <c r="H39" s="127">
        <f t="shared" si="2"/>
        <v>0</v>
      </c>
      <c r="I39" s="226">
        <v>0</v>
      </c>
      <c r="K39" s="127">
        <f t="shared" si="3"/>
        <v>0</v>
      </c>
      <c r="L39" s="226">
        <v>0</v>
      </c>
      <c r="N39" s="127">
        <f t="shared" si="4"/>
        <v>0</v>
      </c>
      <c r="O39" s="226">
        <v>0</v>
      </c>
      <c r="Q39" s="134">
        <f t="shared" si="5"/>
        <v>0</v>
      </c>
      <c r="R39" s="226">
        <v>0</v>
      </c>
      <c r="T39" s="127">
        <f t="shared" si="6"/>
        <v>106.00062406255066</v>
      </c>
      <c r="U39" s="226">
        <v>1</v>
      </c>
      <c r="W39" s="127">
        <f t="shared" si="12"/>
        <v>157.02376668323683</v>
      </c>
      <c r="X39" s="135"/>
      <c r="Y39" s="253">
        <f t="shared" si="7"/>
        <v>0</v>
      </c>
      <c r="AA39" s="264">
        <v>0</v>
      </c>
      <c r="AB39" s="269">
        <f t="shared" si="8"/>
        <v>0</v>
      </c>
      <c r="AC39" s="253">
        <f t="shared" si="9"/>
        <v>0</v>
      </c>
    </row>
    <row r="40" spans="1:29" x14ac:dyDescent="0.25">
      <c r="A40" t="s">
        <v>245</v>
      </c>
      <c r="B40" s="127">
        <f t="shared" si="11"/>
        <v>51.023142620686158</v>
      </c>
      <c r="C40" s="226">
        <v>5</v>
      </c>
      <c r="E40" s="127">
        <f t="shared" si="10"/>
        <v>0</v>
      </c>
      <c r="F40" s="226">
        <v>0</v>
      </c>
      <c r="H40" s="127">
        <f t="shared" si="2"/>
        <v>0</v>
      </c>
      <c r="I40" s="226">
        <v>0</v>
      </c>
      <c r="K40" s="127">
        <f t="shared" si="3"/>
        <v>0</v>
      </c>
      <c r="L40" s="226">
        <v>0</v>
      </c>
      <c r="N40" s="127">
        <f t="shared" si="4"/>
        <v>0</v>
      </c>
      <c r="O40" s="226">
        <v>0</v>
      </c>
      <c r="Q40" s="134">
        <f t="shared" si="5"/>
        <v>0</v>
      </c>
      <c r="R40" s="226">
        <v>0</v>
      </c>
      <c r="T40" s="127">
        <f t="shared" si="6"/>
        <v>106.00062406255066</v>
      </c>
      <c r="U40" s="226">
        <v>1</v>
      </c>
      <c r="W40" s="127">
        <f t="shared" si="12"/>
        <v>157.02376668323683</v>
      </c>
      <c r="X40" s="135"/>
      <c r="Y40" s="253">
        <f t="shared" si="7"/>
        <v>0</v>
      </c>
      <c r="AA40" s="264">
        <v>0</v>
      </c>
      <c r="AB40" s="269">
        <f t="shared" si="8"/>
        <v>0</v>
      </c>
      <c r="AC40" s="253">
        <f t="shared" si="9"/>
        <v>0</v>
      </c>
    </row>
    <row r="41" spans="1:29" x14ac:dyDescent="0.25">
      <c r="A41" t="s">
        <v>246</v>
      </c>
      <c r="B41" s="127">
        <f t="shared" si="11"/>
        <v>51.023142620686158</v>
      </c>
      <c r="C41" s="226">
        <v>5</v>
      </c>
      <c r="E41" s="127">
        <f t="shared" si="10"/>
        <v>0</v>
      </c>
      <c r="F41" s="226">
        <v>0</v>
      </c>
      <c r="H41" s="127">
        <f t="shared" si="2"/>
        <v>0</v>
      </c>
      <c r="I41" s="226">
        <v>0</v>
      </c>
      <c r="K41" s="127">
        <f t="shared" si="3"/>
        <v>0</v>
      </c>
      <c r="L41" s="226">
        <v>0</v>
      </c>
      <c r="N41" s="127">
        <f t="shared" si="4"/>
        <v>0</v>
      </c>
      <c r="O41" s="226">
        <v>0</v>
      </c>
      <c r="Q41" s="134">
        <f t="shared" si="5"/>
        <v>0</v>
      </c>
      <c r="R41" s="226">
        <v>0</v>
      </c>
      <c r="T41" s="127">
        <f t="shared" si="6"/>
        <v>106.00062406255066</v>
      </c>
      <c r="U41" s="226">
        <v>1</v>
      </c>
      <c r="W41" s="127">
        <f t="shared" si="12"/>
        <v>157.02376668323683</v>
      </c>
      <c r="X41" s="135"/>
      <c r="Y41" s="253">
        <f t="shared" si="7"/>
        <v>0</v>
      </c>
      <c r="AA41" s="264">
        <v>0</v>
      </c>
      <c r="AB41" s="269">
        <f t="shared" si="8"/>
        <v>0</v>
      </c>
      <c r="AC41" s="253">
        <f t="shared" si="9"/>
        <v>0</v>
      </c>
    </row>
    <row r="42" spans="1:29" x14ac:dyDescent="0.25">
      <c r="A42" t="s">
        <v>247</v>
      </c>
      <c r="B42" s="127">
        <f t="shared" si="11"/>
        <v>51.023142620686158</v>
      </c>
      <c r="C42" s="226">
        <v>5</v>
      </c>
      <c r="E42" s="127">
        <f t="shared" si="10"/>
        <v>0</v>
      </c>
      <c r="F42" s="226">
        <v>0</v>
      </c>
      <c r="H42" s="127">
        <f t="shared" si="2"/>
        <v>0</v>
      </c>
      <c r="I42" s="226">
        <v>0</v>
      </c>
      <c r="K42" s="127">
        <f t="shared" si="3"/>
        <v>0</v>
      </c>
      <c r="L42" s="226">
        <v>0</v>
      </c>
      <c r="N42" s="127">
        <f t="shared" si="4"/>
        <v>0</v>
      </c>
      <c r="O42" s="226">
        <v>0</v>
      </c>
      <c r="Q42" s="134">
        <f t="shared" si="5"/>
        <v>0</v>
      </c>
      <c r="R42" s="226">
        <v>0</v>
      </c>
      <c r="T42" s="127">
        <f t="shared" si="6"/>
        <v>106.00062406255066</v>
      </c>
      <c r="U42" s="226">
        <v>1</v>
      </c>
      <c r="W42" s="127">
        <f t="shared" si="12"/>
        <v>157.02376668323683</v>
      </c>
      <c r="X42" s="135"/>
      <c r="Y42" s="253">
        <f t="shared" si="7"/>
        <v>0</v>
      </c>
      <c r="AA42" s="264">
        <v>0</v>
      </c>
      <c r="AB42" s="269">
        <f t="shared" si="8"/>
        <v>0</v>
      </c>
      <c r="AC42" s="253">
        <f t="shared" si="9"/>
        <v>0</v>
      </c>
    </row>
    <row r="43" spans="1:29" x14ac:dyDescent="0.25">
      <c r="A43" t="s">
        <v>248</v>
      </c>
      <c r="B43" s="127">
        <f t="shared" si="11"/>
        <v>51.023142620686158</v>
      </c>
      <c r="C43" s="226">
        <v>5</v>
      </c>
      <c r="E43" s="127">
        <f t="shared" si="10"/>
        <v>0</v>
      </c>
      <c r="F43" s="226">
        <v>0</v>
      </c>
      <c r="H43" s="127">
        <f t="shared" si="2"/>
        <v>0</v>
      </c>
      <c r="I43" s="226">
        <v>0</v>
      </c>
      <c r="K43" s="127">
        <f t="shared" si="3"/>
        <v>0</v>
      </c>
      <c r="L43" s="226">
        <v>0</v>
      </c>
      <c r="N43" s="127">
        <f t="shared" si="4"/>
        <v>0</v>
      </c>
      <c r="O43" s="226">
        <v>0</v>
      </c>
      <c r="Q43" s="134">
        <f t="shared" si="5"/>
        <v>0</v>
      </c>
      <c r="R43" s="226">
        <v>0</v>
      </c>
      <c r="T43" s="127">
        <f t="shared" si="6"/>
        <v>106.00062406255066</v>
      </c>
      <c r="U43" s="226">
        <v>1</v>
      </c>
      <c r="W43" s="127">
        <f t="shared" si="12"/>
        <v>157.02376668323683</v>
      </c>
      <c r="X43" s="135"/>
      <c r="Y43" s="253">
        <f t="shared" si="7"/>
        <v>0</v>
      </c>
      <c r="AA43" s="264">
        <v>0</v>
      </c>
      <c r="AB43" s="269">
        <f t="shared" si="8"/>
        <v>0</v>
      </c>
      <c r="AC43" s="253">
        <f t="shared" si="9"/>
        <v>0</v>
      </c>
    </row>
    <row r="44" spans="1:29" x14ac:dyDescent="0.25">
      <c r="A44" t="s">
        <v>249</v>
      </c>
      <c r="B44" s="127">
        <f t="shared" si="11"/>
        <v>51.023142620686158</v>
      </c>
      <c r="C44" s="226">
        <v>5</v>
      </c>
      <c r="E44" s="127">
        <f t="shared" si="10"/>
        <v>0</v>
      </c>
      <c r="F44" s="226">
        <v>0</v>
      </c>
      <c r="H44" s="127">
        <f t="shared" si="2"/>
        <v>0</v>
      </c>
      <c r="I44" s="226">
        <v>0</v>
      </c>
      <c r="K44" s="127">
        <f t="shared" si="3"/>
        <v>0</v>
      </c>
      <c r="L44" s="226">
        <v>0</v>
      </c>
      <c r="N44" s="127">
        <f t="shared" si="4"/>
        <v>0</v>
      </c>
      <c r="O44" s="226">
        <v>0</v>
      </c>
      <c r="Q44" s="134">
        <f t="shared" si="5"/>
        <v>0</v>
      </c>
      <c r="R44" s="226">
        <v>0</v>
      </c>
      <c r="T44" s="127">
        <f t="shared" si="6"/>
        <v>106.00062406255066</v>
      </c>
      <c r="U44" s="226">
        <v>1</v>
      </c>
      <c r="W44" s="127">
        <f t="shared" si="12"/>
        <v>157.02376668323683</v>
      </c>
      <c r="X44" s="135"/>
      <c r="Y44" s="253">
        <f t="shared" si="7"/>
        <v>0</v>
      </c>
      <c r="AA44" s="264">
        <v>0</v>
      </c>
      <c r="AB44" s="269">
        <f t="shared" si="8"/>
        <v>0</v>
      </c>
      <c r="AC44" s="253">
        <f t="shared" si="9"/>
        <v>0</v>
      </c>
    </row>
    <row r="45" spans="1:29" x14ac:dyDescent="0.25">
      <c r="A45" t="s">
        <v>250</v>
      </c>
      <c r="B45" s="127">
        <f t="shared" si="11"/>
        <v>51.023142620686158</v>
      </c>
      <c r="C45" s="226">
        <v>5</v>
      </c>
      <c r="E45" s="127">
        <f t="shared" si="10"/>
        <v>0</v>
      </c>
      <c r="F45" s="226">
        <v>0</v>
      </c>
      <c r="H45" s="127">
        <f t="shared" si="2"/>
        <v>0</v>
      </c>
      <c r="I45" s="226">
        <v>0</v>
      </c>
      <c r="K45" s="127">
        <f t="shared" si="3"/>
        <v>0</v>
      </c>
      <c r="L45" s="226">
        <v>0</v>
      </c>
      <c r="N45" s="127">
        <f t="shared" si="4"/>
        <v>0</v>
      </c>
      <c r="O45" s="226">
        <v>0</v>
      </c>
      <c r="Q45" s="134">
        <f t="shared" si="5"/>
        <v>0</v>
      </c>
      <c r="R45" s="226">
        <v>0</v>
      </c>
      <c r="T45" s="127">
        <f t="shared" si="6"/>
        <v>106.00062406255066</v>
      </c>
      <c r="U45" s="226">
        <v>1</v>
      </c>
      <c r="W45" s="127">
        <f t="shared" si="12"/>
        <v>157.02376668323683</v>
      </c>
      <c r="X45" s="135"/>
      <c r="Y45" s="253">
        <f t="shared" si="7"/>
        <v>0</v>
      </c>
      <c r="AA45" s="264">
        <v>0</v>
      </c>
      <c r="AB45" s="269">
        <f t="shared" si="8"/>
        <v>0</v>
      </c>
      <c r="AC45" s="253">
        <f t="shared" si="9"/>
        <v>0</v>
      </c>
    </row>
    <row r="46" spans="1:29" x14ac:dyDescent="0.25">
      <c r="A46" t="s">
        <v>251</v>
      </c>
      <c r="B46" s="127">
        <f t="shared" si="11"/>
        <v>51.023142620686158</v>
      </c>
      <c r="C46" s="226">
        <v>5</v>
      </c>
      <c r="E46" s="127">
        <f t="shared" si="10"/>
        <v>0</v>
      </c>
      <c r="F46" s="226">
        <v>0</v>
      </c>
      <c r="H46" s="127">
        <f t="shared" si="2"/>
        <v>0</v>
      </c>
      <c r="I46" s="226">
        <v>0</v>
      </c>
      <c r="K46" s="127">
        <f t="shared" si="3"/>
        <v>0</v>
      </c>
      <c r="L46" s="226">
        <v>0</v>
      </c>
      <c r="N46" s="127">
        <f t="shared" si="4"/>
        <v>0</v>
      </c>
      <c r="O46" s="226">
        <v>0</v>
      </c>
      <c r="Q46" s="134">
        <f t="shared" si="5"/>
        <v>0</v>
      </c>
      <c r="R46" s="226">
        <v>0</v>
      </c>
      <c r="T46" s="127">
        <f t="shared" si="6"/>
        <v>106.00062406255066</v>
      </c>
      <c r="U46" s="226">
        <v>1</v>
      </c>
      <c r="W46" s="127">
        <f t="shared" si="12"/>
        <v>157.02376668323683</v>
      </c>
      <c r="X46" s="135"/>
      <c r="Y46" s="253">
        <f t="shared" si="7"/>
        <v>0</v>
      </c>
      <c r="AA46" s="264">
        <v>0</v>
      </c>
      <c r="AB46" s="269">
        <f t="shared" si="8"/>
        <v>0</v>
      </c>
      <c r="AC46" s="253">
        <f t="shared" si="9"/>
        <v>0</v>
      </c>
    </row>
    <row r="47" spans="1:29" x14ac:dyDescent="0.25">
      <c r="A47" t="s">
        <v>252</v>
      </c>
      <c r="B47" s="127">
        <f t="shared" si="11"/>
        <v>51.023142620686158</v>
      </c>
      <c r="C47" s="226">
        <v>5</v>
      </c>
      <c r="E47" s="127">
        <f t="shared" si="10"/>
        <v>0</v>
      </c>
      <c r="F47" s="226">
        <v>0</v>
      </c>
      <c r="H47" s="127">
        <f t="shared" si="2"/>
        <v>0</v>
      </c>
      <c r="I47" s="226">
        <v>0</v>
      </c>
      <c r="K47" s="127">
        <f t="shared" si="3"/>
        <v>0</v>
      </c>
      <c r="L47" s="226">
        <v>0</v>
      </c>
      <c r="N47" s="127">
        <f t="shared" si="4"/>
        <v>0</v>
      </c>
      <c r="O47" s="226">
        <v>0</v>
      </c>
      <c r="Q47" s="134">
        <f t="shared" si="5"/>
        <v>0</v>
      </c>
      <c r="R47" s="226">
        <v>0</v>
      </c>
      <c r="T47" s="127">
        <f t="shared" si="6"/>
        <v>106.00062406255066</v>
      </c>
      <c r="U47" s="226">
        <v>1</v>
      </c>
      <c r="W47" s="127">
        <f t="shared" si="12"/>
        <v>157.02376668323683</v>
      </c>
      <c r="X47" s="135"/>
      <c r="Y47" s="253">
        <f t="shared" si="7"/>
        <v>0</v>
      </c>
      <c r="AA47" s="264">
        <v>0</v>
      </c>
      <c r="AB47" s="269">
        <f t="shared" si="8"/>
        <v>0</v>
      </c>
      <c r="AC47" s="253">
        <f t="shared" si="9"/>
        <v>0</v>
      </c>
    </row>
    <row r="48" spans="1:29" x14ac:dyDescent="0.25">
      <c r="A48" t="s">
        <v>253</v>
      </c>
      <c r="B48" s="127">
        <f t="shared" si="11"/>
        <v>51.023142620686158</v>
      </c>
      <c r="C48" s="226">
        <v>5</v>
      </c>
      <c r="E48" s="127">
        <f t="shared" si="10"/>
        <v>0</v>
      </c>
      <c r="F48" s="226">
        <v>0</v>
      </c>
      <c r="H48" s="127">
        <f t="shared" si="2"/>
        <v>0</v>
      </c>
      <c r="I48" s="226">
        <v>0</v>
      </c>
      <c r="K48" s="127">
        <f t="shared" si="3"/>
        <v>0</v>
      </c>
      <c r="L48" s="226">
        <v>0</v>
      </c>
      <c r="N48" s="127">
        <f t="shared" si="4"/>
        <v>0</v>
      </c>
      <c r="O48" s="226">
        <v>0</v>
      </c>
      <c r="Q48" s="134">
        <f t="shared" si="5"/>
        <v>0</v>
      </c>
      <c r="R48" s="226">
        <v>0</v>
      </c>
      <c r="T48" s="127">
        <f t="shared" si="6"/>
        <v>106.00062406255066</v>
      </c>
      <c r="U48" s="226">
        <v>1</v>
      </c>
      <c r="W48" s="127">
        <f t="shared" si="12"/>
        <v>157.02376668323683</v>
      </c>
      <c r="X48" s="135"/>
      <c r="Y48" s="253">
        <f t="shared" si="7"/>
        <v>0</v>
      </c>
      <c r="AA48" s="264">
        <v>0</v>
      </c>
      <c r="AB48" s="269">
        <f t="shared" si="8"/>
        <v>0</v>
      </c>
      <c r="AC48" s="253">
        <f t="shared" si="9"/>
        <v>0</v>
      </c>
    </row>
    <row r="49" spans="1:29" x14ac:dyDescent="0.25">
      <c r="A49" t="s">
        <v>254</v>
      </c>
      <c r="B49" s="127">
        <f t="shared" si="11"/>
        <v>51.023142620686158</v>
      </c>
      <c r="C49" s="226">
        <v>5</v>
      </c>
      <c r="E49" s="127">
        <f t="shared" si="10"/>
        <v>0</v>
      </c>
      <c r="F49" s="226">
        <v>0</v>
      </c>
      <c r="H49" s="127">
        <f t="shared" si="2"/>
        <v>0</v>
      </c>
      <c r="I49" s="226">
        <v>0</v>
      </c>
      <c r="K49" s="127">
        <f t="shared" si="3"/>
        <v>0</v>
      </c>
      <c r="L49" s="226">
        <v>0</v>
      </c>
      <c r="N49" s="127">
        <f t="shared" si="4"/>
        <v>0</v>
      </c>
      <c r="O49" s="226">
        <v>0</v>
      </c>
      <c r="Q49" s="134">
        <f t="shared" si="5"/>
        <v>0</v>
      </c>
      <c r="R49" s="226">
        <v>0</v>
      </c>
      <c r="T49" s="127">
        <f t="shared" si="6"/>
        <v>106.00062406255066</v>
      </c>
      <c r="U49" s="226">
        <v>1</v>
      </c>
      <c r="W49" s="127">
        <f t="shared" si="12"/>
        <v>157.02376668323683</v>
      </c>
      <c r="X49" s="135"/>
      <c r="Y49" s="253">
        <f t="shared" si="7"/>
        <v>0</v>
      </c>
      <c r="AA49" s="264">
        <v>0</v>
      </c>
      <c r="AB49" s="269">
        <f t="shared" si="8"/>
        <v>0</v>
      </c>
      <c r="AC49" s="253">
        <f t="shared" si="9"/>
        <v>0</v>
      </c>
    </row>
    <row r="50" spans="1:29" x14ac:dyDescent="0.25">
      <c r="A50" t="s">
        <v>255</v>
      </c>
      <c r="B50" s="127">
        <f t="shared" si="11"/>
        <v>51.023142620686158</v>
      </c>
      <c r="C50" s="226">
        <v>5</v>
      </c>
      <c r="E50" s="127">
        <f t="shared" si="10"/>
        <v>0</v>
      </c>
      <c r="F50" s="226">
        <v>0</v>
      </c>
      <c r="H50" s="127">
        <f t="shared" si="2"/>
        <v>0</v>
      </c>
      <c r="I50" s="226">
        <v>0</v>
      </c>
      <c r="K50" s="127">
        <f t="shared" si="3"/>
        <v>0</v>
      </c>
      <c r="L50" s="226">
        <v>0</v>
      </c>
      <c r="N50" s="127">
        <f t="shared" si="4"/>
        <v>0</v>
      </c>
      <c r="O50" s="226">
        <v>0</v>
      </c>
      <c r="Q50" s="134">
        <f t="shared" si="5"/>
        <v>0</v>
      </c>
      <c r="R50" s="226">
        <v>0</v>
      </c>
      <c r="T50" s="127">
        <f t="shared" si="6"/>
        <v>106.00062406255066</v>
      </c>
      <c r="U50" s="226">
        <v>1</v>
      </c>
      <c r="W50" s="127">
        <f t="shared" si="12"/>
        <v>157.02376668323683</v>
      </c>
      <c r="X50" s="135"/>
      <c r="Y50" s="253">
        <f t="shared" si="7"/>
        <v>0</v>
      </c>
      <c r="AA50" s="264">
        <v>0</v>
      </c>
      <c r="AB50" s="269">
        <f t="shared" si="8"/>
        <v>0</v>
      </c>
      <c r="AC50" s="253">
        <f t="shared" si="9"/>
        <v>0</v>
      </c>
    </row>
    <row r="51" spans="1:29" x14ac:dyDescent="0.25">
      <c r="A51" t="s">
        <v>256</v>
      </c>
      <c r="B51" s="127">
        <f t="shared" si="11"/>
        <v>51.023142620686158</v>
      </c>
      <c r="C51" s="226">
        <v>5</v>
      </c>
      <c r="E51" s="127">
        <f t="shared" si="10"/>
        <v>0</v>
      </c>
      <c r="F51" s="226">
        <v>0</v>
      </c>
      <c r="H51" s="127">
        <f t="shared" si="2"/>
        <v>0</v>
      </c>
      <c r="I51" s="226">
        <v>0</v>
      </c>
      <c r="K51" s="127">
        <f t="shared" si="3"/>
        <v>0</v>
      </c>
      <c r="L51" s="226">
        <v>0</v>
      </c>
      <c r="N51" s="127">
        <f t="shared" si="4"/>
        <v>0</v>
      </c>
      <c r="O51" s="226">
        <v>0</v>
      </c>
      <c r="Q51" s="134">
        <f t="shared" si="5"/>
        <v>0</v>
      </c>
      <c r="R51" s="226">
        <v>0</v>
      </c>
      <c r="T51" s="127">
        <f t="shared" si="6"/>
        <v>106.00062406255066</v>
      </c>
      <c r="U51" s="226">
        <v>1</v>
      </c>
      <c r="W51" s="127">
        <f t="shared" si="12"/>
        <v>157.02376668323683</v>
      </c>
      <c r="X51" s="135"/>
      <c r="Y51" s="253">
        <f t="shared" si="7"/>
        <v>0</v>
      </c>
      <c r="AA51" s="264">
        <v>0</v>
      </c>
      <c r="AB51" s="269">
        <f t="shared" si="8"/>
        <v>0</v>
      </c>
      <c r="AC51" s="253">
        <f t="shared" si="9"/>
        <v>0</v>
      </c>
    </row>
    <row r="52" spans="1:29" x14ac:dyDescent="0.25">
      <c r="A52" t="s">
        <v>257</v>
      </c>
      <c r="B52" s="127">
        <f t="shared" si="11"/>
        <v>51.023142620686158</v>
      </c>
      <c r="C52" s="226">
        <v>5</v>
      </c>
      <c r="E52" s="127">
        <f t="shared" si="10"/>
        <v>0</v>
      </c>
      <c r="F52" s="226">
        <v>0</v>
      </c>
      <c r="H52" s="127">
        <f t="shared" si="2"/>
        <v>0</v>
      </c>
      <c r="I52" s="226">
        <v>0</v>
      </c>
      <c r="K52" s="127">
        <f t="shared" si="3"/>
        <v>0</v>
      </c>
      <c r="L52" s="226">
        <v>0</v>
      </c>
      <c r="N52" s="127">
        <f t="shared" si="4"/>
        <v>0</v>
      </c>
      <c r="O52" s="226">
        <v>0</v>
      </c>
      <c r="Q52" s="134">
        <f t="shared" si="5"/>
        <v>0</v>
      </c>
      <c r="R52" s="226">
        <v>0</v>
      </c>
      <c r="T52" s="127">
        <f t="shared" si="6"/>
        <v>106.00062406255066</v>
      </c>
      <c r="U52" s="226">
        <v>1</v>
      </c>
      <c r="W52" s="127">
        <f t="shared" si="12"/>
        <v>157.02376668323683</v>
      </c>
      <c r="X52" s="135"/>
      <c r="Y52" s="253">
        <f t="shared" si="7"/>
        <v>0</v>
      </c>
      <c r="AA52" s="264">
        <v>0</v>
      </c>
      <c r="AB52" s="269">
        <f t="shared" si="8"/>
        <v>0</v>
      </c>
      <c r="AC52" s="253">
        <f t="shared" si="9"/>
        <v>0</v>
      </c>
    </row>
    <row r="53" spans="1:29" x14ac:dyDescent="0.25">
      <c r="A53" t="s">
        <v>258</v>
      </c>
      <c r="B53" s="127">
        <f t="shared" si="11"/>
        <v>51.023142620686158</v>
      </c>
      <c r="C53" s="226">
        <v>5</v>
      </c>
      <c r="E53" s="127">
        <f t="shared" si="10"/>
        <v>0</v>
      </c>
      <c r="F53" s="226">
        <v>0</v>
      </c>
      <c r="H53" s="127">
        <f t="shared" si="2"/>
        <v>0</v>
      </c>
      <c r="I53" s="226">
        <v>0</v>
      </c>
      <c r="K53" s="127">
        <f t="shared" si="3"/>
        <v>0</v>
      </c>
      <c r="L53" s="226">
        <v>0</v>
      </c>
      <c r="N53" s="127">
        <f t="shared" si="4"/>
        <v>0</v>
      </c>
      <c r="O53" s="226">
        <v>0</v>
      </c>
      <c r="Q53" s="134">
        <f t="shared" si="5"/>
        <v>0</v>
      </c>
      <c r="R53" s="226">
        <v>0</v>
      </c>
      <c r="T53" s="127">
        <f t="shared" si="6"/>
        <v>106.00062406255066</v>
      </c>
      <c r="U53" s="226">
        <v>1</v>
      </c>
      <c r="W53" s="127">
        <f t="shared" si="12"/>
        <v>157.02376668323683</v>
      </c>
      <c r="X53" s="135"/>
      <c r="Y53" s="253">
        <f t="shared" si="7"/>
        <v>0</v>
      </c>
      <c r="AA53" s="264">
        <v>0</v>
      </c>
      <c r="AB53" s="269">
        <f t="shared" si="8"/>
        <v>0</v>
      </c>
      <c r="AC53" s="253">
        <f t="shared" si="9"/>
        <v>0</v>
      </c>
    </row>
    <row r="54" spans="1:29" x14ac:dyDescent="0.25">
      <c r="A54" t="s">
        <v>259</v>
      </c>
      <c r="B54" s="127">
        <f t="shared" si="11"/>
        <v>51.023142620686158</v>
      </c>
      <c r="C54" s="226">
        <v>5</v>
      </c>
      <c r="E54" s="127">
        <f t="shared" si="10"/>
        <v>0</v>
      </c>
      <c r="F54" s="226">
        <v>0</v>
      </c>
      <c r="H54" s="127">
        <f t="shared" si="2"/>
        <v>0</v>
      </c>
      <c r="I54" s="226">
        <v>0</v>
      </c>
      <c r="K54" s="127">
        <f t="shared" si="3"/>
        <v>0</v>
      </c>
      <c r="L54" s="226">
        <v>0</v>
      </c>
      <c r="N54" s="127">
        <f t="shared" si="4"/>
        <v>0</v>
      </c>
      <c r="O54" s="226">
        <v>0</v>
      </c>
      <c r="Q54" s="134">
        <f t="shared" si="5"/>
        <v>0</v>
      </c>
      <c r="R54" s="226">
        <v>0</v>
      </c>
      <c r="T54" s="127">
        <f t="shared" si="6"/>
        <v>106.00062406255066</v>
      </c>
      <c r="U54" s="226">
        <v>1</v>
      </c>
      <c r="W54" s="127">
        <f t="shared" si="12"/>
        <v>157.02376668323683</v>
      </c>
      <c r="X54" s="135"/>
      <c r="Y54" s="253">
        <f t="shared" si="7"/>
        <v>0</v>
      </c>
      <c r="AA54" s="264">
        <v>0</v>
      </c>
      <c r="AB54" s="269">
        <f t="shared" si="8"/>
        <v>0</v>
      </c>
      <c r="AC54" s="253">
        <f t="shared" si="9"/>
        <v>0</v>
      </c>
    </row>
    <row r="55" spans="1:29" x14ac:dyDescent="0.25">
      <c r="A55" t="s">
        <v>260</v>
      </c>
      <c r="B55" s="127">
        <f t="shared" si="11"/>
        <v>51.023142620686158</v>
      </c>
      <c r="C55" s="226">
        <v>5</v>
      </c>
      <c r="E55" s="127">
        <f t="shared" si="10"/>
        <v>0</v>
      </c>
      <c r="F55" s="226">
        <v>0</v>
      </c>
      <c r="H55" s="127">
        <f t="shared" si="2"/>
        <v>0</v>
      </c>
      <c r="I55" s="226">
        <v>0</v>
      </c>
      <c r="K55" s="127">
        <f t="shared" si="3"/>
        <v>0</v>
      </c>
      <c r="L55" s="226">
        <v>0</v>
      </c>
      <c r="N55" s="127">
        <f t="shared" si="4"/>
        <v>0</v>
      </c>
      <c r="O55" s="226">
        <v>0</v>
      </c>
      <c r="Q55" s="134">
        <f t="shared" si="5"/>
        <v>0</v>
      </c>
      <c r="R55" s="226">
        <v>0</v>
      </c>
      <c r="T55" s="127">
        <f t="shared" si="6"/>
        <v>106.00062406255066</v>
      </c>
      <c r="U55" s="226">
        <v>1</v>
      </c>
      <c r="W55" s="127">
        <f t="shared" si="12"/>
        <v>157.02376668323683</v>
      </c>
      <c r="X55" s="135"/>
      <c r="Y55" s="253">
        <f t="shared" si="7"/>
        <v>0</v>
      </c>
      <c r="AA55" s="264">
        <v>0</v>
      </c>
      <c r="AB55" s="269">
        <f t="shared" si="8"/>
        <v>0</v>
      </c>
      <c r="AC55" s="253">
        <f t="shared" si="9"/>
        <v>0</v>
      </c>
    </row>
    <row r="56" spans="1:29" x14ac:dyDescent="0.25">
      <c r="A56" t="s">
        <v>261</v>
      </c>
      <c r="B56" s="127">
        <f t="shared" si="11"/>
        <v>51.023142620686158</v>
      </c>
      <c r="C56" s="226">
        <v>5</v>
      </c>
      <c r="E56" s="127">
        <f t="shared" si="10"/>
        <v>0</v>
      </c>
      <c r="F56" s="226">
        <v>0</v>
      </c>
      <c r="H56" s="127">
        <f t="shared" si="2"/>
        <v>0</v>
      </c>
      <c r="I56" s="226">
        <v>0</v>
      </c>
      <c r="K56" s="127">
        <f t="shared" si="3"/>
        <v>0</v>
      </c>
      <c r="L56" s="226">
        <v>0</v>
      </c>
      <c r="N56" s="127">
        <f t="shared" si="4"/>
        <v>0</v>
      </c>
      <c r="O56" s="226">
        <v>0</v>
      </c>
      <c r="Q56" s="134">
        <f t="shared" si="5"/>
        <v>0</v>
      </c>
      <c r="R56" s="226">
        <v>0</v>
      </c>
      <c r="T56" s="127">
        <f t="shared" si="6"/>
        <v>106.00062406255066</v>
      </c>
      <c r="U56" s="226">
        <v>1</v>
      </c>
      <c r="W56" s="127">
        <f t="shared" si="12"/>
        <v>157.02376668323683</v>
      </c>
      <c r="X56" s="135"/>
      <c r="Y56" s="253">
        <f t="shared" si="7"/>
        <v>0</v>
      </c>
      <c r="AA56" s="264">
        <v>0</v>
      </c>
      <c r="AB56" s="269">
        <f t="shared" si="8"/>
        <v>0</v>
      </c>
      <c r="AC56" s="253">
        <f t="shared" si="9"/>
        <v>0</v>
      </c>
    </row>
    <row r="57" spans="1:29" x14ac:dyDescent="0.25">
      <c r="A57" t="s">
        <v>262</v>
      </c>
      <c r="B57" s="127">
        <f t="shared" si="11"/>
        <v>51.023142620686158</v>
      </c>
      <c r="C57" s="226">
        <v>5</v>
      </c>
      <c r="E57" s="127">
        <f t="shared" si="10"/>
        <v>0</v>
      </c>
      <c r="F57" s="226">
        <v>0</v>
      </c>
      <c r="H57" s="127">
        <f t="shared" si="2"/>
        <v>0</v>
      </c>
      <c r="I57" s="226">
        <v>0</v>
      </c>
      <c r="K57" s="127">
        <f t="shared" si="3"/>
        <v>0</v>
      </c>
      <c r="L57" s="226">
        <v>0</v>
      </c>
      <c r="N57" s="127">
        <f t="shared" si="4"/>
        <v>0</v>
      </c>
      <c r="O57" s="226">
        <v>0</v>
      </c>
      <c r="Q57" s="134">
        <f t="shared" si="5"/>
        <v>0</v>
      </c>
      <c r="R57" s="226">
        <v>0</v>
      </c>
      <c r="T57" s="127">
        <f t="shared" si="6"/>
        <v>106.00062406255066</v>
      </c>
      <c r="U57" s="226">
        <v>1</v>
      </c>
      <c r="W57" s="127">
        <f t="shared" si="12"/>
        <v>157.02376668323683</v>
      </c>
      <c r="X57" s="135"/>
      <c r="Y57" s="253">
        <f t="shared" si="7"/>
        <v>0</v>
      </c>
      <c r="AA57" s="264">
        <v>0</v>
      </c>
      <c r="AB57" s="269">
        <f t="shared" si="8"/>
        <v>0</v>
      </c>
      <c r="AC57" s="253">
        <f t="shared" si="9"/>
        <v>0</v>
      </c>
    </row>
    <row r="58" spans="1:29" x14ac:dyDescent="0.25">
      <c r="A58" t="s">
        <v>263</v>
      </c>
      <c r="B58" s="127">
        <f t="shared" si="11"/>
        <v>51.023142620686158</v>
      </c>
      <c r="C58" s="226">
        <v>5</v>
      </c>
      <c r="E58" s="127">
        <f t="shared" si="10"/>
        <v>0</v>
      </c>
      <c r="F58" s="226">
        <v>0</v>
      </c>
      <c r="H58" s="127">
        <f t="shared" si="2"/>
        <v>0</v>
      </c>
      <c r="I58" s="226">
        <v>0</v>
      </c>
      <c r="K58" s="127">
        <f t="shared" si="3"/>
        <v>0</v>
      </c>
      <c r="L58" s="226">
        <v>0</v>
      </c>
      <c r="N58" s="127">
        <f t="shared" si="4"/>
        <v>0</v>
      </c>
      <c r="O58" s="226">
        <v>0</v>
      </c>
      <c r="Q58" s="134">
        <f t="shared" si="5"/>
        <v>0</v>
      </c>
      <c r="R58" s="226">
        <v>0</v>
      </c>
      <c r="T58" s="127">
        <f t="shared" si="6"/>
        <v>106.00062406255066</v>
      </c>
      <c r="U58" s="226">
        <v>1</v>
      </c>
      <c r="W58" s="127">
        <f t="shared" si="12"/>
        <v>157.02376668323683</v>
      </c>
      <c r="X58" s="135"/>
      <c r="Y58" s="253">
        <f t="shared" si="7"/>
        <v>0</v>
      </c>
      <c r="AA58" s="264">
        <v>0</v>
      </c>
      <c r="AB58" s="269">
        <f t="shared" si="8"/>
        <v>0</v>
      </c>
      <c r="AC58" s="253">
        <f t="shared" si="9"/>
        <v>0</v>
      </c>
    </row>
    <row r="59" spans="1:29" x14ac:dyDescent="0.25">
      <c r="A59" t="s">
        <v>264</v>
      </c>
      <c r="B59" s="127">
        <f t="shared" si="11"/>
        <v>51.023142620686158</v>
      </c>
      <c r="C59" s="226">
        <v>5</v>
      </c>
      <c r="E59" s="127">
        <f t="shared" si="10"/>
        <v>0</v>
      </c>
      <c r="F59" s="226">
        <v>0</v>
      </c>
      <c r="H59" s="127">
        <f t="shared" si="2"/>
        <v>0</v>
      </c>
      <c r="I59" s="226">
        <v>0</v>
      </c>
      <c r="K59" s="127">
        <f t="shared" si="3"/>
        <v>0</v>
      </c>
      <c r="L59" s="226">
        <v>0</v>
      </c>
      <c r="N59" s="127">
        <f t="shared" si="4"/>
        <v>0</v>
      </c>
      <c r="O59" s="226">
        <v>0</v>
      </c>
      <c r="Q59" s="134">
        <f t="shared" si="5"/>
        <v>0</v>
      </c>
      <c r="R59" s="226">
        <v>0</v>
      </c>
      <c r="T59" s="127">
        <f t="shared" si="6"/>
        <v>106.00062406255066</v>
      </c>
      <c r="U59" s="226">
        <v>1</v>
      </c>
      <c r="W59" s="127">
        <f t="shared" si="12"/>
        <v>157.02376668323683</v>
      </c>
      <c r="X59" s="135"/>
      <c r="Y59" s="253">
        <f t="shared" si="7"/>
        <v>0</v>
      </c>
      <c r="AA59" s="264">
        <v>0</v>
      </c>
      <c r="AB59" s="269">
        <f t="shared" si="8"/>
        <v>0</v>
      </c>
      <c r="AC59" s="253">
        <f t="shared" si="9"/>
        <v>0</v>
      </c>
    </row>
    <row r="60" spans="1:29" x14ac:dyDescent="0.25">
      <c r="A60" t="s">
        <v>265</v>
      </c>
      <c r="B60" s="127">
        <f t="shared" si="11"/>
        <v>51.023142620686158</v>
      </c>
      <c r="C60" s="226">
        <v>5</v>
      </c>
      <c r="E60" s="127">
        <f t="shared" si="10"/>
        <v>0</v>
      </c>
      <c r="F60" s="226">
        <v>0</v>
      </c>
      <c r="H60" s="127">
        <f t="shared" si="2"/>
        <v>0</v>
      </c>
      <c r="I60" s="226">
        <v>0</v>
      </c>
      <c r="K60" s="127">
        <f t="shared" si="3"/>
        <v>0</v>
      </c>
      <c r="L60" s="226">
        <v>0</v>
      </c>
      <c r="N60" s="127">
        <f t="shared" si="4"/>
        <v>0</v>
      </c>
      <c r="O60" s="226">
        <v>0</v>
      </c>
      <c r="Q60" s="134">
        <f t="shared" si="5"/>
        <v>0</v>
      </c>
      <c r="R60" s="226">
        <v>0</v>
      </c>
      <c r="T60" s="127">
        <f t="shared" si="6"/>
        <v>106.00062406255066</v>
      </c>
      <c r="U60" s="226">
        <v>1</v>
      </c>
      <c r="W60" s="127">
        <f t="shared" si="12"/>
        <v>157.02376668323683</v>
      </c>
      <c r="X60" s="135"/>
      <c r="Y60" s="253">
        <f t="shared" si="7"/>
        <v>0</v>
      </c>
      <c r="AA60" s="264">
        <v>0</v>
      </c>
      <c r="AB60" s="269">
        <f t="shared" si="8"/>
        <v>0</v>
      </c>
      <c r="AC60" s="253">
        <f t="shared" si="9"/>
        <v>0</v>
      </c>
    </row>
    <row r="61" spans="1:29" x14ac:dyDescent="0.25">
      <c r="A61" t="s">
        <v>266</v>
      </c>
      <c r="B61" s="127">
        <f t="shared" si="11"/>
        <v>51.023142620686158</v>
      </c>
      <c r="C61" s="226">
        <v>5</v>
      </c>
      <c r="E61" s="127">
        <f t="shared" si="10"/>
        <v>0</v>
      </c>
      <c r="F61" s="226">
        <v>0</v>
      </c>
      <c r="H61" s="127">
        <f t="shared" si="2"/>
        <v>0</v>
      </c>
      <c r="I61" s="226">
        <v>0</v>
      </c>
      <c r="K61" s="127">
        <f t="shared" si="3"/>
        <v>0</v>
      </c>
      <c r="L61" s="226">
        <v>0</v>
      </c>
      <c r="N61" s="127">
        <f t="shared" si="4"/>
        <v>0</v>
      </c>
      <c r="O61" s="226">
        <v>0</v>
      </c>
      <c r="Q61" s="134">
        <f t="shared" si="5"/>
        <v>0</v>
      </c>
      <c r="R61" s="226">
        <v>0</v>
      </c>
      <c r="T61" s="127">
        <f t="shared" si="6"/>
        <v>106.00062406255066</v>
      </c>
      <c r="U61" s="226">
        <v>1</v>
      </c>
      <c r="W61" s="127">
        <f t="shared" si="12"/>
        <v>157.02376668323683</v>
      </c>
      <c r="X61" s="135"/>
      <c r="Y61" s="253">
        <f t="shared" si="7"/>
        <v>0</v>
      </c>
      <c r="AA61" s="264">
        <v>0</v>
      </c>
      <c r="AB61" s="269">
        <f t="shared" si="8"/>
        <v>0</v>
      </c>
      <c r="AC61" s="253">
        <f t="shared" si="9"/>
        <v>0</v>
      </c>
    </row>
    <row r="62" spans="1:29" x14ac:dyDescent="0.25">
      <c r="A62" t="s">
        <v>267</v>
      </c>
      <c r="B62" s="127">
        <f t="shared" si="11"/>
        <v>51.023142620686158</v>
      </c>
      <c r="C62" s="226">
        <v>5</v>
      </c>
      <c r="E62" s="127">
        <f t="shared" si="10"/>
        <v>0</v>
      </c>
      <c r="F62" s="226">
        <v>0</v>
      </c>
      <c r="H62" s="127">
        <f t="shared" si="2"/>
        <v>0</v>
      </c>
      <c r="I62" s="226">
        <v>0</v>
      </c>
      <c r="K62" s="127">
        <f t="shared" si="3"/>
        <v>0</v>
      </c>
      <c r="L62" s="226">
        <v>0</v>
      </c>
      <c r="N62" s="127">
        <f t="shared" si="4"/>
        <v>0</v>
      </c>
      <c r="O62" s="226">
        <v>0</v>
      </c>
      <c r="Q62" s="134">
        <f t="shared" si="5"/>
        <v>0</v>
      </c>
      <c r="R62" s="226">
        <v>0</v>
      </c>
      <c r="T62" s="127">
        <f t="shared" si="6"/>
        <v>106.00062406255066</v>
      </c>
      <c r="U62" s="226">
        <v>1</v>
      </c>
      <c r="W62" s="127">
        <f t="shared" si="12"/>
        <v>157.02376668323683</v>
      </c>
      <c r="X62" s="135"/>
      <c r="Y62" s="253">
        <f t="shared" si="7"/>
        <v>0</v>
      </c>
      <c r="AA62" s="264">
        <v>0</v>
      </c>
      <c r="AB62" s="269">
        <f t="shared" si="8"/>
        <v>0</v>
      </c>
      <c r="AC62" s="253">
        <f t="shared" si="9"/>
        <v>0</v>
      </c>
    </row>
    <row r="63" spans="1:29" x14ac:dyDescent="0.25">
      <c r="A63" t="s">
        <v>268</v>
      </c>
      <c r="B63" s="127">
        <f t="shared" si="11"/>
        <v>51.023142620686158</v>
      </c>
      <c r="C63" s="226">
        <v>5</v>
      </c>
      <c r="E63" s="127">
        <f t="shared" si="10"/>
        <v>0</v>
      </c>
      <c r="F63" s="226">
        <v>0</v>
      </c>
      <c r="H63" s="127">
        <f t="shared" si="2"/>
        <v>0</v>
      </c>
      <c r="I63" s="226">
        <v>0</v>
      </c>
      <c r="K63" s="127">
        <f t="shared" si="3"/>
        <v>0</v>
      </c>
      <c r="L63" s="226">
        <v>0</v>
      </c>
      <c r="N63" s="127">
        <f t="shared" si="4"/>
        <v>0</v>
      </c>
      <c r="O63" s="226">
        <v>0</v>
      </c>
      <c r="Q63" s="134">
        <f t="shared" si="5"/>
        <v>0</v>
      </c>
      <c r="R63" s="226">
        <v>0</v>
      </c>
      <c r="T63" s="127">
        <f t="shared" si="6"/>
        <v>106.00062406255066</v>
      </c>
      <c r="U63" s="226">
        <v>1</v>
      </c>
      <c r="W63" s="127">
        <f t="shared" si="12"/>
        <v>157.02376668323683</v>
      </c>
      <c r="X63" s="135"/>
      <c r="Y63" s="253">
        <f t="shared" si="7"/>
        <v>0</v>
      </c>
      <c r="AA63" s="264">
        <v>0</v>
      </c>
      <c r="AB63" s="269">
        <f t="shared" si="8"/>
        <v>0</v>
      </c>
      <c r="AC63" s="253">
        <f t="shared" si="9"/>
        <v>0</v>
      </c>
    </row>
    <row r="64" spans="1:29" x14ac:dyDescent="0.25">
      <c r="A64" t="s">
        <v>269</v>
      </c>
      <c r="B64" s="127">
        <f t="shared" si="11"/>
        <v>51.023142620686158</v>
      </c>
      <c r="C64" s="226">
        <v>5</v>
      </c>
      <c r="E64" s="127">
        <f t="shared" si="10"/>
        <v>0</v>
      </c>
      <c r="F64" s="226">
        <v>0</v>
      </c>
      <c r="H64" s="127">
        <f t="shared" si="2"/>
        <v>0</v>
      </c>
      <c r="I64" s="226">
        <v>0</v>
      </c>
      <c r="K64" s="127">
        <f t="shared" si="3"/>
        <v>0</v>
      </c>
      <c r="L64" s="226">
        <v>0</v>
      </c>
      <c r="N64" s="127">
        <f t="shared" si="4"/>
        <v>0</v>
      </c>
      <c r="O64" s="226">
        <v>0</v>
      </c>
      <c r="Q64" s="134">
        <f t="shared" si="5"/>
        <v>0</v>
      </c>
      <c r="R64" s="226">
        <v>0</v>
      </c>
      <c r="T64" s="127">
        <f t="shared" si="6"/>
        <v>106.00062406255066</v>
      </c>
      <c r="U64" s="226">
        <v>1</v>
      </c>
      <c r="W64" s="127">
        <f t="shared" si="12"/>
        <v>157.02376668323683</v>
      </c>
      <c r="X64" s="135"/>
      <c r="Y64" s="253">
        <f t="shared" si="7"/>
        <v>0</v>
      </c>
      <c r="AA64" s="264">
        <v>0</v>
      </c>
      <c r="AB64" s="269">
        <f t="shared" si="8"/>
        <v>0</v>
      </c>
      <c r="AC64" s="253">
        <f t="shared" si="9"/>
        <v>0</v>
      </c>
    </row>
    <row r="65" spans="1:29" x14ac:dyDescent="0.25">
      <c r="A65" t="s">
        <v>270</v>
      </c>
      <c r="B65" s="127">
        <f t="shared" si="11"/>
        <v>51.023142620686158</v>
      </c>
      <c r="C65" s="226">
        <v>5</v>
      </c>
      <c r="E65" s="127">
        <f t="shared" si="10"/>
        <v>0</v>
      </c>
      <c r="F65" s="226">
        <v>0</v>
      </c>
      <c r="H65" s="127">
        <f t="shared" si="2"/>
        <v>0</v>
      </c>
      <c r="I65" s="226">
        <v>0</v>
      </c>
      <c r="K65" s="127">
        <f t="shared" si="3"/>
        <v>0</v>
      </c>
      <c r="L65" s="226">
        <v>0</v>
      </c>
      <c r="N65" s="127">
        <f t="shared" si="4"/>
        <v>0</v>
      </c>
      <c r="O65" s="226">
        <v>0</v>
      </c>
      <c r="Q65" s="134">
        <f t="shared" si="5"/>
        <v>0</v>
      </c>
      <c r="R65" s="226">
        <v>0</v>
      </c>
      <c r="T65" s="127">
        <f t="shared" si="6"/>
        <v>106.00062406255066</v>
      </c>
      <c r="U65" s="226">
        <v>1</v>
      </c>
      <c r="W65" s="127">
        <f t="shared" si="12"/>
        <v>157.02376668323683</v>
      </c>
      <c r="X65" s="135"/>
      <c r="Y65" s="253">
        <f t="shared" si="7"/>
        <v>0</v>
      </c>
      <c r="AA65" s="264">
        <v>0</v>
      </c>
      <c r="AB65" s="269">
        <f t="shared" si="8"/>
        <v>0</v>
      </c>
      <c r="AC65" s="253">
        <f t="shared" si="9"/>
        <v>0</v>
      </c>
    </row>
    <row r="66" spans="1:29" x14ac:dyDescent="0.25">
      <c r="A66" t="s">
        <v>271</v>
      </c>
      <c r="B66" s="127">
        <f t="shared" si="11"/>
        <v>10.204628524137231</v>
      </c>
      <c r="C66" s="226">
        <v>1</v>
      </c>
      <c r="E66" s="127">
        <f t="shared" si="10"/>
        <v>43.088225325379803</v>
      </c>
      <c r="F66" s="226">
        <v>1</v>
      </c>
      <c r="H66" s="127">
        <f t="shared" si="2"/>
        <v>7.0270625333058527</v>
      </c>
      <c r="I66" s="226">
        <v>1</v>
      </c>
      <c r="K66" s="127">
        <f t="shared" si="3"/>
        <v>0</v>
      </c>
      <c r="L66" s="226">
        <v>1</v>
      </c>
      <c r="N66" s="127">
        <f t="shared" si="4"/>
        <v>0</v>
      </c>
      <c r="O66" s="226">
        <v>1</v>
      </c>
      <c r="Q66" s="134">
        <f t="shared" si="5"/>
        <v>0</v>
      </c>
      <c r="R66" s="226">
        <v>0</v>
      </c>
      <c r="T66" s="127">
        <f t="shared" si="6"/>
        <v>0</v>
      </c>
      <c r="U66" s="226"/>
      <c r="W66" s="127">
        <f t="shared" si="12"/>
        <v>60.319916382822882</v>
      </c>
      <c r="X66" s="135"/>
      <c r="Y66" s="253">
        <f t="shared" si="7"/>
        <v>0</v>
      </c>
      <c r="AA66" s="264">
        <v>0</v>
      </c>
      <c r="AB66" s="269">
        <f t="shared" si="8"/>
        <v>0</v>
      </c>
      <c r="AC66" s="253">
        <f t="shared" si="9"/>
        <v>0</v>
      </c>
    </row>
    <row r="67" spans="1:29" x14ac:dyDescent="0.25">
      <c r="A67" t="s">
        <v>272</v>
      </c>
      <c r="B67" s="127">
        <f t="shared" si="11"/>
        <v>10.204628524137231</v>
      </c>
      <c r="C67" s="226">
        <v>1</v>
      </c>
      <c r="E67" s="127">
        <f t="shared" si="10"/>
        <v>43.088225325379803</v>
      </c>
      <c r="F67" s="226">
        <v>1</v>
      </c>
      <c r="H67" s="127">
        <f t="shared" si="2"/>
        <v>7.0270625333058527</v>
      </c>
      <c r="I67" s="226">
        <v>1</v>
      </c>
      <c r="K67" s="127">
        <f t="shared" si="3"/>
        <v>0</v>
      </c>
      <c r="L67" s="226">
        <v>1</v>
      </c>
      <c r="N67" s="127">
        <f t="shared" si="4"/>
        <v>0</v>
      </c>
      <c r="O67" s="226">
        <v>1</v>
      </c>
      <c r="Q67" s="134">
        <f t="shared" si="5"/>
        <v>0</v>
      </c>
      <c r="R67" s="226">
        <v>0</v>
      </c>
      <c r="T67" s="127">
        <f t="shared" si="6"/>
        <v>0</v>
      </c>
      <c r="U67" s="226"/>
      <c r="W67" s="127">
        <f t="shared" si="12"/>
        <v>60.319916382822882</v>
      </c>
      <c r="X67" s="135"/>
      <c r="Y67" s="253">
        <f t="shared" si="7"/>
        <v>0</v>
      </c>
      <c r="AA67" s="264">
        <v>0</v>
      </c>
      <c r="AB67" s="269">
        <f t="shared" si="8"/>
        <v>0</v>
      </c>
      <c r="AC67" s="253">
        <f t="shared" si="9"/>
        <v>0</v>
      </c>
    </row>
    <row r="68" spans="1:29" x14ac:dyDescent="0.25">
      <c r="A68" t="s">
        <v>273</v>
      </c>
      <c r="B68" s="127">
        <f t="shared" si="11"/>
        <v>10.204628524137231</v>
      </c>
      <c r="C68" s="226">
        <v>1</v>
      </c>
      <c r="E68" s="127">
        <f t="shared" si="10"/>
        <v>43.088225325379803</v>
      </c>
      <c r="F68" s="226">
        <v>1</v>
      </c>
      <c r="H68" s="127">
        <f t="shared" si="2"/>
        <v>7.0270625333058527</v>
      </c>
      <c r="I68" s="226">
        <v>1</v>
      </c>
      <c r="K68" s="127">
        <f t="shared" si="3"/>
        <v>0</v>
      </c>
      <c r="L68" s="226">
        <v>1</v>
      </c>
      <c r="N68" s="127">
        <f t="shared" si="4"/>
        <v>0</v>
      </c>
      <c r="O68" s="226">
        <v>1</v>
      </c>
      <c r="Q68" s="134">
        <f t="shared" si="5"/>
        <v>0</v>
      </c>
      <c r="R68" s="226">
        <v>0</v>
      </c>
      <c r="T68" s="127">
        <f t="shared" si="6"/>
        <v>0</v>
      </c>
      <c r="U68" s="226"/>
      <c r="W68" s="127">
        <f t="shared" si="12"/>
        <v>60.319916382822882</v>
      </c>
      <c r="X68" s="135"/>
      <c r="Y68" s="253">
        <f t="shared" si="7"/>
        <v>0</v>
      </c>
      <c r="AA68" s="264">
        <v>0</v>
      </c>
      <c r="AB68" s="269">
        <f t="shared" si="8"/>
        <v>0</v>
      </c>
      <c r="AC68" s="253">
        <f t="shared" si="9"/>
        <v>0</v>
      </c>
    </row>
    <row r="69" spans="1:29" x14ac:dyDescent="0.25">
      <c r="A69" t="s">
        <v>274</v>
      </c>
      <c r="B69" s="127">
        <f t="shared" ref="B69" si="13">+C69/$C$3*$B$3</f>
        <v>10.204628524137231</v>
      </c>
      <c r="C69" s="226">
        <v>1</v>
      </c>
      <c r="E69" s="127">
        <f t="shared" si="10"/>
        <v>43.088225325379803</v>
      </c>
      <c r="F69" s="226">
        <v>1</v>
      </c>
      <c r="H69" s="127">
        <f t="shared" si="2"/>
        <v>7.0270625333058527</v>
      </c>
      <c r="I69" s="226">
        <v>1</v>
      </c>
      <c r="K69" s="127">
        <f t="shared" si="3"/>
        <v>0</v>
      </c>
      <c r="L69" s="226">
        <v>1</v>
      </c>
      <c r="N69" s="127">
        <f t="shared" si="4"/>
        <v>0</v>
      </c>
      <c r="O69" s="226">
        <v>1</v>
      </c>
      <c r="Q69" s="134">
        <f t="shared" si="5"/>
        <v>0</v>
      </c>
      <c r="R69" s="226">
        <v>0</v>
      </c>
      <c r="T69" s="127">
        <f t="shared" si="6"/>
        <v>0</v>
      </c>
      <c r="U69" s="226"/>
      <c r="W69" s="127">
        <f t="shared" ref="W69:W100" si="14">+B69+E69+H69+K69+N69+Q69+T69</f>
        <v>60.319916382822882</v>
      </c>
      <c r="X69" s="135"/>
      <c r="Y69" s="253">
        <f t="shared" si="7"/>
        <v>0</v>
      </c>
      <c r="AA69" s="264">
        <v>0</v>
      </c>
      <c r="AB69" s="269">
        <f t="shared" si="8"/>
        <v>0</v>
      </c>
      <c r="AC69" s="253">
        <f t="shared" si="9"/>
        <v>0</v>
      </c>
    </row>
    <row r="70" spans="1:29" x14ac:dyDescent="0.25">
      <c r="A70" t="s">
        <v>275</v>
      </c>
      <c r="B70" s="127">
        <f t="shared" ref="B70:B100" si="15">+C70/$C$3*$B$3</f>
        <v>10.204628524137231</v>
      </c>
      <c r="C70" s="226">
        <v>1</v>
      </c>
      <c r="E70" s="127">
        <f t="shared" si="10"/>
        <v>43.088225325379803</v>
      </c>
      <c r="F70" s="226">
        <v>1</v>
      </c>
      <c r="H70" s="127">
        <f t="shared" ref="H70:H100" si="16">+I70/$I$3*$H$3</f>
        <v>7.0270625333058527</v>
      </c>
      <c r="I70" s="226">
        <v>1</v>
      </c>
      <c r="K70" s="127">
        <f t="shared" ref="K70:K100" si="17">+L70/$L$3*$K$3</f>
        <v>0</v>
      </c>
      <c r="L70" s="226">
        <v>1</v>
      </c>
      <c r="N70" s="127">
        <f t="shared" ref="N70:N100" si="18">+O70/$O$3*$N$3</f>
        <v>0</v>
      </c>
      <c r="O70" s="226">
        <v>1</v>
      </c>
      <c r="Q70" s="134">
        <f t="shared" ref="Q70:Q100" si="19">+R70/$R$3*$Q$3</f>
        <v>0</v>
      </c>
      <c r="R70" s="226">
        <v>0</v>
      </c>
      <c r="T70" s="127">
        <f t="shared" ref="T70:T100" si="20">+U70/$U$3*$T$3</f>
        <v>0</v>
      </c>
      <c r="U70" s="226"/>
      <c r="W70" s="127">
        <f t="shared" si="14"/>
        <v>60.319916382822882</v>
      </c>
      <c r="X70" s="135"/>
      <c r="Y70" s="253">
        <f t="shared" ref="Y70:Y100" si="21">+X70/12</f>
        <v>0</v>
      </c>
      <c r="AA70" s="264">
        <v>0</v>
      </c>
      <c r="AB70" s="269">
        <f t="shared" ref="AB70:AB100" si="22">+Y70-AA70</f>
        <v>0</v>
      </c>
      <c r="AC70" s="253">
        <f t="shared" ref="AC70:AC100" si="23">12*AB70</f>
        <v>0</v>
      </c>
    </row>
    <row r="71" spans="1:29" x14ac:dyDescent="0.25">
      <c r="A71" t="s">
        <v>276</v>
      </c>
      <c r="B71" s="127">
        <f t="shared" si="15"/>
        <v>10.204628524137231</v>
      </c>
      <c r="C71" s="226">
        <v>1</v>
      </c>
      <c r="E71" s="127">
        <f t="shared" ref="E71:E100" si="24">+F71/$F$3*$E$3</f>
        <v>43.088225325379803</v>
      </c>
      <c r="F71" s="226">
        <v>1</v>
      </c>
      <c r="H71" s="127">
        <f t="shared" si="16"/>
        <v>7.0270625333058527</v>
      </c>
      <c r="I71" s="226">
        <v>1</v>
      </c>
      <c r="K71" s="127">
        <f t="shared" si="17"/>
        <v>0</v>
      </c>
      <c r="L71" s="226">
        <v>1</v>
      </c>
      <c r="N71" s="127">
        <f t="shared" si="18"/>
        <v>0</v>
      </c>
      <c r="O71" s="226">
        <v>1</v>
      </c>
      <c r="Q71" s="134">
        <f t="shared" si="19"/>
        <v>0</v>
      </c>
      <c r="R71" s="226">
        <v>0</v>
      </c>
      <c r="T71" s="127">
        <f t="shared" si="20"/>
        <v>0</v>
      </c>
      <c r="U71" s="226"/>
      <c r="W71" s="127">
        <f t="shared" si="14"/>
        <v>60.319916382822882</v>
      </c>
      <c r="X71" s="135"/>
      <c r="Y71" s="253">
        <f t="shared" si="21"/>
        <v>0</v>
      </c>
      <c r="AA71" s="264">
        <v>0</v>
      </c>
      <c r="AB71" s="269">
        <f t="shared" si="22"/>
        <v>0</v>
      </c>
      <c r="AC71" s="253">
        <f t="shared" si="23"/>
        <v>0</v>
      </c>
    </row>
    <row r="72" spans="1:29" x14ac:dyDescent="0.25">
      <c r="A72" t="s">
        <v>277</v>
      </c>
      <c r="B72" s="127">
        <f t="shared" si="15"/>
        <v>10.204628524137231</v>
      </c>
      <c r="C72" s="226">
        <v>1</v>
      </c>
      <c r="E72" s="127">
        <f t="shared" si="24"/>
        <v>43.088225325379803</v>
      </c>
      <c r="F72" s="226">
        <v>1</v>
      </c>
      <c r="H72" s="127">
        <f t="shared" si="16"/>
        <v>7.0270625333058527</v>
      </c>
      <c r="I72" s="226">
        <v>1</v>
      </c>
      <c r="K72" s="127">
        <f t="shared" si="17"/>
        <v>0</v>
      </c>
      <c r="L72" s="226">
        <v>1</v>
      </c>
      <c r="N72" s="127">
        <f t="shared" si="18"/>
        <v>0</v>
      </c>
      <c r="O72" s="226">
        <v>1</v>
      </c>
      <c r="Q72" s="134">
        <f t="shared" si="19"/>
        <v>0</v>
      </c>
      <c r="R72" s="226">
        <v>0</v>
      </c>
      <c r="T72" s="127">
        <f t="shared" si="20"/>
        <v>0</v>
      </c>
      <c r="U72" s="226"/>
      <c r="W72" s="127">
        <f t="shared" si="14"/>
        <v>60.319916382822882</v>
      </c>
      <c r="X72" s="135"/>
      <c r="Y72" s="253">
        <f t="shared" si="21"/>
        <v>0</v>
      </c>
      <c r="AA72" s="264">
        <v>0</v>
      </c>
      <c r="AB72" s="269">
        <f t="shared" si="22"/>
        <v>0</v>
      </c>
      <c r="AC72" s="253">
        <f t="shared" si="23"/>
        <v>0</v>
      </c>
    </row>
    <row r="73" spans="1:29" x14ac:dyDescent="0.25">
      <c r="A73" t="s">
        <v>278</v>
      </c>
      <c r="B73" s="127">
        <f t="shared" si="15"/>
        <v>10.204628524137231</v>
      </c>
      <c r="C73" s="226">
        <v>1</v>
      </c>
      <c r="E73" s="127">
        <f t="shared" si="24"/>
        <v>43.088225325379803</v>
      </c>
      <c r="F73" s="226">
        <v>1</v>
      </c>
      <c r="H73" s="127">
        <f t="shared" si="16"/>
        <v>7.0270625333058527</v>
      </c>
      <c r="I73" s="226">
        <v>1</v>
      </c>
      <c r="K73" s="127">
        <f t="shared" si="17"/>
        <v>0</v>
      </c>
      <c r="L73" s="226">
        <v>1</v>
      </c>
      <c r="N73" s="127">
        <f t="shared" si="18"/>
        <v>0</v>
      </c>
      <c r="O73" s="226">
        <v>1</v>
      </c>
      <c r="Q73" s="134">
        <f t="shared" si="19"/>
        <v>0</v>
      </c>
      <c r="R73" s="226">
        <v>0</v>
      </c>
      <c r="T73" s="127">
        <f t="shared" si="20"/>
        <v>0</v>
      </c>
      <c r="U73" s="226"/>
      <c r="W73" s="127">
        <f t="shared" si="14"/>
        <v>60.319916382822882</v>
      </c>
      <c r="X73" s="135"/>
      <c r="Y73" s="253">
        <f t="shared" si="21"/>
        <v>0</v>
      </c>
      <c r="AA73" s="264">
        <v>0</v>
      </c>
      <c r="AB73" s="269">
        <f t="shared" si="22"/>
        <v>0</v>
      </c>
      <c r="AC73" s="253">
        <f t="shared" si="23"/>
        <v>0</v>
      </c>
    </row>
    <row r="74" spans="1:29" x14ac:dyDescent="0.25">
      <c r="A74" t="s">
        <v>279</v>
      </c>
      <c r="B74" s="127">
        <f t="shared" si="15"/>
        <v>10.204628524137231</v>
      </c>
      <c r="C74" s="226">
        <v>1</v>
      </c>
      <c r="E74" s="127">
        <f t="shared" si="24"/>
        <v>0</v>
      </c>
      <c r="F74" s="226">
        <v>0</v>
      </c>
      <c r="H74" s="127">
        <f t="shared" si="16"/>
        <v>0</v>
      </c>
      <c r="I74" s="226">
        <v>0</v>
      </c>
      <c r="K74" s="127">
        <f t="shared" si="17"/>
        <v>0</v>
      </c>
      <c r="L74" s="226">
        <v>1</v>
      </c>
      <c r="N74" s="127">
        <f t="shared" si="18"/>
        <v>0</v>
      </c>
      <c r="O74" s="226">
        <v>1</v>
      </c>
      <c r="Q74" s="134">
        <f t="shared" si="19"/>
        <v>0</v>
      </c>
      <c r="R74" s="226">
        <v>0</v>
      </c>
      <c r="T74" s="127">
        <f t="shared" si="20"/>
        <v>0</v>
      </c>
      <c r="U74" s="226"/>
      <c r="W74" s="127">
        <f t="shared" si="14"/>
        <v>10.204628524137231</v>
      </c>
      <c r="X74" s="135"/>
      <c r="Y74" s="253">
        <f t="shared" si="21"/>
        <v>0</v>
      </c>
      <c r="AA74" s="264">
        <v>0</v>
      </c>
      <c r="AB74" s="269">
        <f t="shared" si="22"/>
        <v>0</v>
      </c>
      <c r="AC74" s="253">
        <f t="shared" si="23"/>
        <v>0</v>
      </c>
    </row>
    <row r="75" spans="1:29" x14ac:dyDescent="0.25">
      <c r="A75" t="s">
        <v>280</v>
      </c>
      <c r="B75" s="127">
        <f t="shared" si="15"/>
        <v>10.204628524137231</v>
      </c>
      <c r="C75" s="226">
        <v>1</v>
      </c>
      <c r="E75" s="127">
        <f t="shared" si="24"/>
        <v>0</v>
      </c>
      <c r="F75" s="226">
        <v>0</v>
      </c>
      <c r="H75" s="127">
        <f t="shared" si="16"/>
        <v>0</v>
      </c>
      <c r="I75" s="226">
        <v>0</v>
      </c>
      <c r="K75" s="127">
        <f t="shared" si="17"/>
        <v>0</v>
      </c>
      <c r="L75" s="226">
        <v>1</v>
      </c>
      <c r="N75" s="127">
        <f t="shared" si="18"/>
        <v>0</v>
      </c>
      <c r="O75" s="226">
        <v>1</v>
      </c>
      <c r="Q75" s="134">
        <f t="shared" si="19"/>
        <v>0</v>
      </c>
      <c r="R75" s="226">
        <v>0</v>
      </c>
      <c r="T75" s="127">
        <f t="shared" si="20"/>
        <v>0</v>
      </c>
      <c r="U75" s="226"/>
      <c r="W75" s="127">
        <f t="shared" si="14"/>
        <v>10.204628524137231</v>
      </c>
      <c r="X75" s="135"/>
      <c r="Y75" s="253">
        <f t="shared" si="21"/>
        <v>0</v>
      </c>
      <c r="AA75" s="264">
        <v>0</v>
      </c>
      <c r="AB75" s="269">
        <f t="shared" si="22"/>
        <v>0</v>
      </c>
      <c r="AC75" s="253">
        <f t="shared" si="23"/>
        <v>0</v>
      </c>
    </row>
    <row r="76" spans="1:29" x14ac:dyDescent="0.25">
      <c r="A76" t="s">
        <v>281</v>
      </c>
      <c r="B76" s="127">
        <f t="shared" si="15"/>
        <v>10.204628524137231</v>
      </c>
      <c r="C76" s="226">
        <v>1</v>
      </c>
      <c r="E76" s="127">
        <f t="shared" si="24"/>
        <v>43.088225325379803</v>
      </c>
      <c r="F76" s="226">
        <v>1</v>
      </c>
      <c r="H76" s="127">
        <f t="shared" si="16"/>
        <v>7.0270625333058527</v>
      </c>
      <c r="I76" s="226">
        <v>1</v>
      </c>
      <c r="K76" s="127">
        <f t="shared" si="17"/>
        <v>0</v>
      </c>
      <c r="L76" s="226">
        <v>1</v>
      </c>
      <c r="N76" s="127">
        <f t="shared" si="18"/>
        <v>0</v>
      </c>
      <c r="O76" s="226">
        <v>1</v>
      </c>
      <c r="Q76" s="134">
        <f t="shared" si="19"/>
        <v>0</v>
      </c>
      <c r="R76" s="226">
        <v>0</v>
      </c>
      <c r="T76" s="127">
        <f t="shared" si="20"/>
        <v>0</v>
      </c>
      <c r="U76" s="226"/>
      <c r="W76" s="127">
        <f t="shared" si="14"/>
        <v>60.319916382822882</v>
      </c>
      <c r="X76" s="135"/>
      <c r="Y76" s="253">
        <f t="shared" si="21"/>
        <v>0</v>
      </c>
      <c r="AA76" s="264">
        <v>0</v>
      </c>
      <c r="AB76" s="269">
        <f t="shared" si="22"/>
        <v>0</v>
      </c>
      <c r="AC76" s="253">
        <f t="shared" si="23"/>
        <v>0</v>
      </c>
    </row>
    <row r="77" spans="1:29" x14ac:dyDescent="0.25">
      <c r="A77" t="s">
        <v>282</v>
      </c>
      <c r="B77" s="127">
        <f t="shared" si="15"/>
        <v>10.204628524137231</v>
      </c>
      <c r="C77" s="226">
        <v>1</v>
      </c>
      <c r="E77" s="127">
        <f t="shared" si="24"/>
        <v>43.088225325379803</v>
      </c>
      <c r="F77" s="226">
        <v>1</v>
      </c>
      <c r="H77" s="127">
        <f t="shared" si="16"/>
        <v>7.0270625333058527</v>
      </c>
      <c r="I77" s="226">
        <v>1</v>
      </c>
      <c r="K77" s="127">
        <f t="shared" si="17"/>
        <v>0</v>
      </c>
      <c r="L77" s="226">
        <v>1</v>
      </c>
      <c r="N77" s="127">
        <f t="shared" si="18"/>
        <v>0</v>
      </c>
      <c r="O77" s="226">
        <v>1</v>
      </c>
      <c r="Q77" s="134">
        <f t="shared" si="19"/>
        <v>0</v>
      </c>
      <c r="R77" s="226">
        <v>0</v>
      </c>
      <c r="T77" s="127">
        <f t="shared" si="20"/>
        <v>0</v>
      </c>
      <c r="U77" s="226"/>
      <c r="W77" s="127">
        <f t="shared" si="14"/>
        <v>60.319916382822882</v>
      </c>
      <c r="X77" s="135"/>
      <c r="Y77" s="253">
        <f t="shared" si="21"/>
        <v>0</v>
      </c>
      <c r="AA77" s="264">
        <v>0</v>
      </c>
      <c r="AB77" s="269">
        <f t="shared" si="22"/>
        <v>0</v>
      </c>
      <c r="AC77" s="253">
        <f t="shared" si="23"/>
        <v>0</v>
      </c>
    </row>
    <row r="78" spans="1:29" x14ac:dyDescent="0.25">
      <c r="A78" t="s">
        <v>283</v>
      </c>
      <c r="B78" s="127">
        <f t="shared" si="15"/>
        <v>10.204628524137231</v>
      </c>
      <c r="C78" s="226">
        <v>1</v>
      </c>
      <c r="E78" s="127">
        <f t="shared" si="24"/>
        <v>43.088225325379803</v>
      </c>
      <c r="F78" s="226">
        <v>1</v>
      </c>
      <c r="H78" s="127">
        <f t="shared" si="16"/>
        <v>7.0270625333058527</v>
      </c>
      <c r="I78" s="226">
        <v>1</v>
      </c>
      <c r="K78" s="127">
        <f t="shared" si="17"/>
        <v>0</v>
      </c>
      <c r="L78" s="226">
        <v>1</v>
      </c>
      <c r="N78" s="127">
        <f t="shared" si="18"/>
        <v>0</v>
      </c>
      <c r="O78" s="226">
        <v>1</v>
      </c>
      <c r="Q78" s="134">
        <f t="shared" si="19"/>
        <v>0</v>
      </c>
      <c r="R78" s="226">
        <v>0</v>
      </c>
      <c r="T78" s="127">
        <f t="shared" si="20"/>
        <v>0</v>
      </c>
      <c r="U78" s="226"/>
      <c r="W78" s="127">
        <f t="shared" si="14"/>
        <v>60.319916382822882</v>
      </c>
      <c r="X78" s="135"/>
      <c r="Y78" s="253">
        <f t="shared" si="21"/>
        <v>0</v>
      </c>
      <c r="AA78" s="264">
        <v>0</v>
      </c>
      <c r="AB78" s="269">
        <f t="shared" si="22"/>
        <v>0</v>
      </c>
      <c r="AC78" s="253">
        <f t="shared" si="23"/>
        <v>0</v>
      </c>
    </row>
    <row r="79" spans="1:29" x14ac:dyDescent="0.25">
      <c r="A79" t="s">
        <v>284</v>
      </c>
      <c r="B79" s="127">
        <f t="shared" si="15"/>
        <v>10.204628524137231</v>
      </c>
      <c r="C79" s="226">
        <v>1</v>
      </c>
      <c r="E79" s="127">
        <f t="shared" si="24"/>
        <v>43.088225325379803</v>
      </c>
      <c r="F79" s="226">
        <v>1</v>
      </c>
      <c r="H79" s="127">
        <f t="shared" si="16"/>
        <v>7.0270625333058527</v>
      </c>
      <c r="I79" s="226">
        <v>1</v>
      </c>
      <c r="K79" s="127">
        <f t="shared" si="17"/>
        <v>0</v>
      </c>
      <c r="L79" s="226">
        <v>1</v>
      </c>
      <c r="N79" s="127">
        <f t="shared" si="18"/>
        <v>0</v>
      </c>
      <c r="O79" s="226">
        <v>1</v>
      </c>
      <c r="Q79" s="134">
        <f t="shared" si="19"/>
        <v>0</v>
      </c>
      <c r="R79" s="226">
        <v>0</v>
      </c>
      <c r="T79" s="127">
        <f t="shared" si="20"/>
        <v>0</v>
      </c>
      <c r="U79" s="226"/>
      <c r="W79" s="127">
        <f t="shared" si="14"/>
        <v>60.319916382822882</v>
      </c>
      <c r="X79" s="135"/>
      <c r="Y79" s="253">
        <f t="shared" si="21"/>
        <v>0</v>
      </c>
      <c r="AA79" s="264">
        <v>0</v>
      </c>
      <c r="AB79" s="269">
        <f t="shared" si="22"/>
        <v>0</v>
      </c>
      <c r="AC79" s="253">
        <f t="shared" si="23"/>
        <v>0</v>
      </c>
    </row>
    <row r="80" spans="1:29" x14ac:dyDescent="0.25">
      <c r="A80" t="s">
        <v>285</v>
      </c>
      <c r="B80" s="127">
        <f t="shared" si="15"/>
        <v>10.204628524137231</v>
      </c>
      <c r="C80" s="226">
        <v>1</v>
      </c>
      <c r="E80" s="127">
        <f t="shared" si="24"/>
        <v>43.088225325379803</v>
      </c>
      <c r="F80" s="226">
        <v>1</v>
      </c>
      <c r="H80" s="127">
        <f t="shared" si="16"/>
        <v>7.0270625333058527</v>
      </c>
      <c r="I80" s="226">
        <v>1</v>
      </c>
      <c r="K80" s="127">
        <f t="shared" si="17"/>
        <v>0</v>
      </c>
      <c r="L80" s="226">
        <v>1</v>
      </c>
      <c r="N80" s="127">
        <f t="shared" si="18"/>
        <v>0</v>
      </c>
      <c r="O80" s="226">
        <v>1</v>
      </c>
      <c r="Q80" s="134">
        <f t="shared" si="19"/>
        <v>0</v>
      </c>
      <c r="R80" s="226">
        <v>0</v>
      </c>
      <c r="T80" s="127">
        <f t="shared" si="20"/>
        <v>0</v>
      </c>
      <c r="U80" s="226"/>
      <c r="W80" s="127">
        <f t="shared" si="14"/>
        <v>60.319916382822882</v>
      </c>
      <c r="X80" s="135"/>
      <c r="Y80" s="253">
        <f t="shared" si="21"/>
        <v>0</v>
      </c>
      <c r="AA80" s="264">
        <v>0</v>
      </c>
      <c r="AB80" s="269">
        <f t="shared" si="22"/>
        <v>0</v>
      </c>
      <c r="AC80" s="253">
        <f t="shared" si="23"/>
        <v>0</v>
      </c>
    </row>
    <row r="81" spans="1:29" x14ac:dyDescent="0.25">
      <c r="A81" t="s">
        <v>286</v>
      </c>
      <c r="B81" s="127">
        <f t="shared" si="15"/>
        <v>10.204628524137231</v>
      </c>
      <c r="C81" s="226">
        <v>1</v>
      </c>
      <c r="E81" s="127">
        <f t="shared" si="24"/>
        <v>43.088225325379803</v>
      </c>
      <c r="F81" s="226">
        <v>1</v>
      </c>
      <c r="H81" s="127">
        <f t="shared" si="16"/>
        <v>7.0270625333058527</v>
      </c>
      <c r="I81" s="226">
        <v>1</v>
      </c>
      <c r="K81" s="127">
        <f t="shared" si="17"/>
        <v>0</v>
      </c>
      <c r="L81" s="226">
        <v>1</v>
      </c>
      <c r="N81" s="127">
        <f t="shared" si="18"/>
        <v>0</v>
      </c>
      <c r="O81" s="226">
        <v>1</v>
      </c>
      <c r="Q81" s="134">
        <f t="shared" si="19"/>
        <v>0</v>
      </c>
      <c r="R81" s="226">
        <v>0</v>
      </c>
      <c r="T81" s="127">
        <f t="shared" si="20"/>
        <v>0</v>
      </c>
      <c r="U81" s="226"/>
      <c r="W81" s="127">
        <f t="shared" si="14"/>
        <v>60.319916382822882</v>
      </c>
      <c r="X81" s="135"/>
      <c r="Y81" s="253">
        <f t="shared" si="21"/>
        <v>0</v>
      </c>
      <c r="AA81" s="264">
        <v>0</v>
      </c>
      <c r="AB81" s="269">
        <f t="shared" si="22"/>
        <v>0</v>
      </c>
      <c r="AC81" s="253">
        <f t="shared" si="23"/>
        <v>0</v>
      </c>
    </row>
    <row r="82" spans="1:29" x14ac:dyDescent="0.25">
      <c r="A82" t="s">
        <v>287</v>
      </c>
      <c r="B82" s="127">
        <f t="shared" si="15"/>
        <v>10.204628524137231</v>
      </c>
      <c r="C82" s="226">
        <v>1</v>
      </c>
      <c r="E82" s="127">
        <f t="shared" si="24"/>
        <v>43.088225325379803</v>
      </c>
      <c r="F82" s="226">
        <v>1</v>
      </c>
      <c r="H82" s="127">
        <f t="shared" si="16"/>
        <v>7.0270625333058527</v>
      </c>
      <c r="I82" s="226">
        <v>1</v>
      </c>
      <c r="K82" s="127">
        <f t="shared" si="17"/>
        <v>0</v>
      </c>
      <c r="L82" s="226">
        <v>1</v>
      </c>
      <c r="N82" s="127">
        <f t="shared" si="18"/>
        <v>0</v>
      </c>
      <c r="O82" s="226">
        <v>1</v>
      </c>
      <c r="Q82" s="134">
        <f t="shared" si="19"/>
        <v>0</v>
      </c>
      <c r="R82" s="226">
        <v>0</v>
      </c>
      <c r="T82" s="127">
        <f t="shared" si="20"/>
        <v>0</v>
      </c>
      <c r="U82" s="226"/>
      <c r="W82" s="127">
        <f t="shared" si="14"/>
        <v>60.319916382822882</v>
      </c>
      <c r="X82" s="135"/>
      <c r="Y82" s="253">
        <f t="shared" si="21"/>
        <v>0</v>
      </c>
      <c r="AA82" s="264">
        <v>0</v>
      </c>
      <c r="AB82" s="269">
        <f t="shared" si="22"/>
        <v>0</v>
      </c>
      <c r="AC82" s="253">
        <f t="shared" si="23"/>
        <v>0</v>
      </c>
    </row>
    <row r="83" spans="1:29" x14ac:dyDescent="0.25">
      <c r="A83" t="s">
        <v>288</v>
      </c>
      <c r="B83" s="127">
        <f t="shared" si="15"/>
        <v>10.204628524137231</v>
      </c>
      <c r="C83" s="226">
        <v>1</v>
      </c>
      <c r="E83" s="127">
        <f t="shared" si="24"/>
        <v>43.088225325379803</v>
      </c>
      <c r="F83" s="226">
        <v>1</v>
      </c>
      <c r="H83" s="127">
        <f t="shared" si="16"/>
        <v>7.0270625333058527</v>
      </c>
      <c r="I83" s="226">
        <v>1</v>
      </c>
      <c r="K83" s="127">
        <f t="shared" si="17"/>
        <v>0</v>
      </c>
      <c r="L83" s="226">
        <v>1</v>
      </c>
      <c r="N83" s="127">
        <f t="shared" si="18"/>
        <v>0</v>
      </c>
      <c r="O83" s="226">
        <v>1</v>
      </c>
      <c r="Q83" s="134">
        <f t="shared" si="19"/>
        <v>0</v>
      </c>
      <c r="R83" s="226">
        <v>0</v>
      </c>
      <c r="T83" s="127">
        <f t="shared" si="20"/>
        <v>0</v>
      </c>
      <c r="U83" s="226"/>
      <c r="W83" s="127">
        <f t="shared" si="14"/>
        <v>60.319916382822882</v>
      </c>
      <c r="X83" s="135"/>
      <c r="Y83" s="253">
        <f t="shared" si="21"/>
        <v>0</v>
      </c>
      <c r="AA83" s="264">
        <v>0</v>
      </c>
      <c r="AB83" s="269">
        <f t="shared" si="22"/>
        <v>0</v>
      </c>
      <c r="AC83" s="253">
        <f t="shared" si="23"/>
        <v>0</v>
      </c>
    </row>
    <row r="84" spans="1:29" x14ac:dyDescent="0.25">
      <c r="A84" t="s">
        <v>289</v>
      </c>
      <c r="B84" s="127">
        <f t="shared" si="15"/>
        <v>10.204628524137231</v>
      </c>
      <c r="C84" s="226">
        <v>1</v>
      </c>
      <c r="E84" s="127">
        <f t="shared" si="24"/>
        <v>43.088225325379803</v>
      </c>
      <c r="F84" s="226">
        <v>1</v>
      </c>
      <c r="H84" s="127">
        <f t="shared" si="16"/>
        <v>7.0270625333058527</v>
      </c>
      <c r="I84" s="226">
        <v>1</v>
      </c>
      <c r="K84" s="127">
        <f t="shared" si="17"/>
        <v>0</v>
      </c>
      <c r="L84" s="226">
        <v>1</v>
      </c>
      <c r="N84" s="127">
        <f t="shared" si="18"/>
        <v>0</v>
      </c>
      <c r="O84" s="226">
        <v>1</v>
      </c>
      <c r="Q84" s="134">
        <f t="shared" si="19"/>
        <v>0</v>
      </c>
      <c r="R84" s="226">
        <v>0</v>
      </c>
      <c r="T84" s="127">
        <f t="shared" si="20"/>
        <v>0</v>
      </c>
      <c r="U84" s="226"/>
      <c r="W84" s="127">
        <f t="shared" si="14"/>
        <v>60.319916382822882</v>
      </c>
      <c r="X84" s="135"/>
      <c r="Y84" s="253">
        <f t="shared" si="21"/>
        <v>0</v>
      </c>
      <c r="AA84" s="264">
        <v>0</v>
      </c>
      <c r="AB84" s="269">
        <f t="shared" si="22"/>
        <v>0</v>
      </c>
      <c r="AC84" s="253">
        <f t="shared" si="23"/>
        <v>0</v>
      </c>
    </row>
    <row r="85" spans="1:29" x14ac:dyDescent="0.25">
      <c r="A85" t="s">
        <v>290</v>
      </c>
      <c r="B85" s="127">
        <f t="shared" si="15"/>
        <v>10.204628524137231</v>
      </c>
      <c r="C85" s="226">
        <v>1</v>
      </c>
      <c r="E85" s="127">
        <f t="shared" si="24"/>
        <v>43.088225325379803</v>
      </c>
      <c r="F85" s="226">
        <v>1</v>
      </c>
      <c r="H85" s="127">
        <f t="shared" si="16"/>
        <v>7.0270625333058527</v>
      </c>
      <c r="I85" s="226">
        <v>1</v>
      </c>
      <c r="K85" s="127">
        <f t="shared" si="17"/>
        <v>0</v>
      </c>
      <c r="L85" s="226">
        <v>1</v>
      </c>
      <c r="N85" s="127">
        <f t="shared" si="18"/>
        <v>0</v>
      </c>
      <c r="O85" s="226">
        <v>1</v>
      </c>
      <c r="Q85" s="134">
        <f t="shared" si="19"/>
        <v>0</v>
      </c>
      <c r="R85" s="226">
        <v>0</v>
      </c>
      <c r="T85" s="127">
        <f t="shared" si="20"/>
        <v>0</v>
      </c>
      <c r="U85" s="226"/>
      <c r="W85" s="127">
        <f t="shared" si="14"/>
        <v>60.319916382822882</v>
      </c>
      <c r="X85" s="135"/>
      <c r="Y85" s="253">
        <f t="shared" si="21"/>
        <v>0</v>
      </c>
      <c r="AA85" s="264">
        <v>0</v>
      </c>
      <c r="AB85" s="269">
        <f t="shared" si="22"/>
        <v>0</v>
      </c>
      <c r="AC85" s="253">
        <f t="shared" si="23"/>
        <v>0</v>
      </c>
    </row>
    <row r="86" spans="1:29" x14ac:dyDescent="0.25">
      <c r="A86" t="s">
        <v>291</v>
      </c>
      <c r="B86" s="127">
        <f t="shared" si="15"/>
        <v>10.204628524137231</v>
      </c>
      <c r="C86" s="226">
        <v>1</v>
      </c>
      <c r="E86" s="127">
        <f t="shared" si="24"/>
        <v>43.088225325379803</v>
      </c>
      <c r="F86" s="226">
        <v>1</v>
      </c>
      <c r="H86" s="127">
        <f t="shared" si="16"/>
        <v>7.0270625333058527</v>
      </c>
      <c r="I86" s="226">
        <v>1</v>
      </c>
      <c r="K86" s="127">
        <f t="shared" si="17"/>
        <v>0</v>
      </c>
      <c r="L86" s="226">
        <v>1</v>
      </c>
      <c r="N86" s="127">
        <f t="shared" si="18"/>
        <v>0</v>
      </c>
      <c r="O86" s="226">
        <v>1</v>
      </c>
      <c r="Q86" s="134">
        <f t="shared" si="19"/>
        <v>0</v>
      </c>
      <c r="R86" s="226">
        <v>0</v>
      </c>
      <c r="T86" s="127">
        <f t="shared" si="20"/>
        <v>0</v>
      </c>
      <c r="U86" s="226"/>
      <c r="W86" s="127">
        <f t="shared" si="14"/>
        <v>60.319916382822882</v>
      </c>
      <c r="X86" s="135"/>
      <c r="Y86" s="253">
        <f t="shared" si="21"/>
        <v>0</v>
      </c>
      <c r="AA86" s="264">
        <v>0</v>
      </c>
      <c r="AB86" s="269">
        <f t="shared" si="22"/>
        <v>0</v>
      </c>
      <c r="AC86" s="253">
        <f t="shared" si="23"/>
        <v>0</v>
      </c>
    </row>
    <row r="87" spans="1:29" x14ac:dyDescent="0.25">
      <c r="A87" t="s">
        <v>292</v>
      </c>
      <c r="B87" s="127">
        <f t="shared" si="15"/>
        <v>10.204628524137231</v>
      </c>
      <c r="C87" s="226">
        <v>1</v>
      </c>
      <c r="E87" s="127">
        <f t="shared" si="24"/>
        <v>43.088225325379803</v>
      </c>
      <c r="F87" s="226">
        <v>1</v>
      </c>
      <c r="H87" s="127">
        <f t="shared" si="16"/>
        <v>7.0270625333058527</v>
      </c>
      <c r="I87" s="226">
        <v>1</v>
      </c>
      <c r="K87" s="127">
        <f t="shared" si="17"/>
        <v>0</v>
      </c>
      <c r="L87" s="226">
        <v>1</v>
      </c>
      <c r="N87" s="127">
        <f t="shared" si="18"/>
        <v>0</v>
      </c>
      <c r="O87" s="226">
        <v>1</v>
      </c>
      <c r="Q87" s="134">
        <f t="shared" si="19"/>
        <v>0</v>
      </c>
      <c r="R87" s="226">
        <v>0</v>
      </c>
      <c r="T87" s="127">
        <f t="shared" si="20"/>
        <v>0</v>
      </c>
      <c r="U87" s="226"/>
      <c r="W87" s="127">
        <f t="shared" si="14"/>
        <v>60.319916382822882</v>
      </c>
      <c r="X87" s="135"/>
      <c r="Y87" s="253">
        <f t="shared" si="21"/>
        <v>0</v>
      </c>
      <c r="AA87" s="264">
        <v>0</v>
      </c>
      <c r="AB87" s="269">
        <f t="shared" si="22"/>
        <v>0</v>
      </c>
      <c r="AC87" s="253">
        <f t="shared" si="23"/>
        <v>0</v>
      </c>
    </row>
    <row r="88" spans="1:29" x14ac:dyDescent="0.25">
      <c r="A88" t="s">
        <v>293</v>
      </c>
      <c r="B88" s="127">
        <f t="shared" si="15"/>
        <v>10.204628524137231</v>
      </c>
      <c r="C88" s="226">
        <v>1</v>
      </c>
      <c r="E88" s="127">
        <f t="shared" si="24"/>
        <v>43.088225325379803</v>
      </c>
      <c r="F88" s="226">
        <v>1</v>
      </c>
      <c r="H88" s="127">
        <f t="shared" si="16"/>
        <v>7.0270625333058527</v>
      </c>
      <c r="I88" s="226">
        <v>1</v>
      </c>
      <c r="K88" s="127">
        <f t="shared" si="17"/>
        <v>0</v>
      </c>
      <c r="L88" s="226">
        <v>1</v>
      </c>
      <c r="N88" s="127">
        <f t="shared" si="18"/>
        <v>0</v>
      </c>
      <c r="O88" s="226">
        <v>1</v>
      </c>
      <c r="Q88" s="134">
        <f t="shared" si="19"/>
        <v>0</v>
      </c>
      <c r="R88" s="226">
        <v>0</v>
      </c>
      <c r="T88" s="127">
        <f t="shared" si="20"/>
        <v>0</v>
      </c>
      <c r="U88" s="226"/>
      <c r="W88" s="127">
        <f t="shared" si="14"/>
        <v>60.319916382822882</v>
      </c>
      <c r="X88" s="135"/>
      <c r="Y88" s="253">
        <f t="shared" si="21"/>
        <v>0</v>
      </c>
      <c r="AA88" s="264">
        <v>0</v>
      </c>
      <c r="AB88" s="269">
        <f t="shared" si="22"/>
        <v>0</v>
      </c>
      <c r="AC88" s="253">
        <f t="shared" si="23"/>
        <v>0</v>
      </c>
    </row>
    <row r="89" spans="1:29" x14ac:dyDescent="0.25">
      <c r="A89" t="s">
        <v>294</v>
      </c>
      <c r="B89" s="127">
        <f t="shared" si="15"/>
        <v>10.204628524137231</v>
      </c>
      <c r="C89" s="226">
        <v>1</v>
      </c>
      <c r="E89" s="127">
        <f t="shared" si="24"/>
        <v>43.088225325379803</v>
      </c>
      <c r="F89" s="226">
        <v>1</v>
      </c>
      <c r="H89" s="127">
        <f t="shared" si="16"/>
        <v>7.0270625333058527</v>
      </c>
      <c r="I89" s="226">
        <v>1</v>
      </c>
      <c r="K89" s="127">
        <f t="shared" si="17"/>
        <v>0</v>
      </c>
      <c r="L89" s="226">
        <v>1</v>
      </c>
      <c r="N89" s="127">
        <f t="shared" si="18"/>
        <v>0</v>
      </c>
      <c r="O89" s="226">
        <v>1</v>
      </c>
      <c r="Q89" s="134">
        <f t="shared" si="19"/>
        <v>0</v>
      </c>
      <c r="R89" s="226">
        <v>0</v>
      </c>
      <c r="T89" s="127">
        <f t="shared" si="20"/>
        <v>0</v>
      </c>
      <c r="U89" s="226"/>
      <c r="W89" s="127">
        <f t="shared" si="14"/>
        <v>60.319916382822882</v>
      </c>
      <c r="X89" s="135"/>
      <c r="Y89" s="253">
        <f t="shared" si="21"/>
        <v>0</v>
      </c>
      <c r="AA89" s="264">
        <v>0</v>
      </c>
      <c r="AB89" s="269">
        <f t="shared" si="22"/>
        <v>0</v>
      </c>
      <c r="AC89" s="253">
        <f t="shared" si="23"/>
        <v>0</v>
      </c>
    </row>
    <row r="90" spans="1:29" x14ac:dyDescent="0.25">
      <c r="A90" t="s">
        <v>295</v>
      </c>
      <c r="B90" s="127">
        <f t="shared" si="15"/>
        <v>10.204628524137231</v>
      </c>
      <c r="C90" s="226">
        <v>1</v>
      </c>
      <c r="E90" s="127">
        <f t="shared" si="24"/>
        <v>43.088225325379803</v>
      </c>
      <c r="F90" s="226">
        <v>1</v>
      </c>
      <c r="H90" s="127">
        <f t="shared" si="16"/>
        <v>7.0270625333058527</v>
      </c>
      <c r="I90" s="226">
        <v>1</v>
      </c>
      <c r="K90" s="127">
        <f t="shared" si="17"/>
        <v>0</v>
      </c>
      <c r="L90" s="226">
        <v>1</v>
      </c>
      <c r="N90" s="127">
        <f t="shared" si="18"/>
        <v>0</v>
      </c>
      <c r="O90" s="226">
        <v>1</v>
      </c>
      <c r="Q90" s="134">
        <f t="shared" si="19"/>
        <v>0</v>
      </c>
      <c r="R90" s="226">
        <v>0</v>
      </c>
      <c r="T90" s="127">
        <f t="shared" si="20"/>
        <v>0</v>
      </c>
      <c r="U90" s="226"/>
      <c r="W90" s="127">
        <f t="shared" si="14"/>
        <v>60.319916382822882</v>
      </c>
      <c r="X90" s="135"/>
      <c r="Y90" s="253">
        <f t="shared" si="21"/>
        <v>0</v>
      </c>
      <c r="AA90" s="264">
        <v>0</v>
      </c>
      <c r="AB90" s="269">
        <f t="shared" si="22"/>
        <v>0</v>
      </c>
      <c r="AC90" s="253">
        <f t="shared" si="23"/>
        <v>0</v>
      </c>
    </row>
    <row r="91" spans="1:29" x14ac:dyDescent="0.25">
      <c r="A91" t="s">
        <v>296</v>
      </c>
      <c r="B91" s="127">
        <f t="shared" si="15"/>
        <v>10.204628524137231</v>
      </c>
      <c r="C91" s="226">
        <v>1</v>
      </c>
      <c r="E91" s="127">
        <f t="shared" si="24"/>
        <v>43.088225325379803</v>
      </c>
      <c r="F91" s="226">
        <v>1</v>
      </c>
      <c r="H91" s="127">
        <f t="shared" si="16"/>
        <v>7.0270625333058527</v>
      </c>
      <c r="I91" s="226">
        <v>1</v>
      </c>
      <c r="K91" s="127">
        <f t="shared" si="17"/>
        <v>0</v>
      </c>
      <c r="L91" s="226">
        <v>1</v>
      </c>
      <c r="N91" s="127">
        <f t="shared" si="18"/>
        <v>0</v>
      </c>
      <c r="O91" s="226">
        <v>1</v>
      </c>
      <c r="Q91" s="134">
        <f t="shared" si="19"/>
        <v>0</v>
      </c>
      <c r="R91" s="226">
        <v>0</v>
      </c>
      <c r="T91" s="127">
        <f t="shared" si="20"/>
        <v>0</v>
      </c>
      <c r="U91" s="226"/>
      <c r="W91" s="127">
        <f t="shared" si="14"/>
        <v>60.319916382822882</v>
      </c>
      <c r="X91" s="135"/>
      <c r="Y91" s="253">
        <f t="shared" si="21"/>
        <v>0</v>
      </c>
      <c r="AA91" s="264">
        <v>0</v>
      </c>
      <c r="AB91" s="269">
        <f t="shared" si="22"/>
        <v>0</v>
      </c>
      <c r="AC91" s="253">
        <f t="shared" si="23"/>
        <v>0</v>
      </c>
    </row>
    <row r="92" spans="1:29" x14ac:dyDescent="0.25">
      <c r="A92" t="s">
        <v>297</v>
      </c>
      <c r="B92" s="127">
        <f t="shared" si="15"/>
        <v>10.204628524137231</v>
      </c>
      <c r="C92" s="226">
        <v>1</v>
      </c>
      <c r="E92" s="127">
        <f t="shared" si="24"/>
        <v>43.088225325379803</v>
      </c>
      <c r="F92" s="226">
        <v>1</v>
      </c>
      <c r="H92" s="127">
        <f t="shared" si="16"/>
        <v>7.0270625333058527</v>
      </c>
      <c r="I92" s="226">
        <v>1</v>
      </c>
      <c r="K92" s="127">
        <f t="shared" si="17"/>
        <v>0</v>
      </c>
      <c r="L92" s="226">
        <v>1</v>
      </c>
      <c r="N92" s="127">
        <f t="shared" si="18"/>
        <v>0</v>
      </c>
      <c r="O92" s="226">
        <v>1</v>
      </c>
      <c r="Q92" s="134">
        <f t="shared" si="19"/>
        <v>0</v>
      </c>
      <c r="R92" s="226">
        <v>0</v>
      </c>
      <c r="T92" s="127">
        <f t="shared" si="20"/>
        <v>0</v>
      </c>
      <c r="U92" s="226"/>
      <c r="W92" s="127">
        <f t="shared" si="14"/>
        <v>60.319916382822882</v>
      </c>
      <c r="X92" s="135"/>
      <c r="Y92" s="253">
        <f t="shared" si="21"/>
        <v>0</v>
      </c>
      <c r="AA92" s="264">
        <v>0</v>
      </c>
      <c r="AB92" s="269">
        <f t="shared" si="22"/>
        <v>0</v>
      </c>
      <c r="AC92" s="253">
        <f t="shared" si="23"/>
        <v>0</v>
      </c>
    </row>
    <row r="93" spans="1:29" x14ac:dyDescent="0.25">
      <c r="A93" t="s">
        <v>298</v>
      </c>
      <c r="B93" s="127">
        <f t="shared" si="15"/>
        <v>10.204628524137231</v>
      </c>
      <c r="C93" s="226">
        <v>1</v>
      </c>
      <c r="E93" s="127">
        <f t="shared" si="24"/>
        <v>43.088225325379803</v>
      </c>
      <c r="F93" s="226">
        <v>1</v>
      </c>
      <c r="H93" s="127">
        <f t="shared" si="16"/>
        <v>7.0270625333058527</v>
      </c>
      <c r="I93" s="226">
        <v>1</v>
      </c>
      <c r="K93" s="127">
        <f t="shared" si="17"/>
        <v>0</v>
      </c>
      <c r="L93" s="226">
        <v>1</v>
      </c>
      <c r="N93" s="127">
        <f t="shared" si="18"/>
        <v>0</v>
      </c>
      <c r="O93" s="226">
        <v>1</v>
      </c>
      <c r="Q93" s="134">
        <f t="shared" si="19"/>
        <v>0</v>
      </c>
      <c r="R93" s="226">
        <v>0</v>
      </c>
      <c r="T93" s="127">
        <f t="shared" si="20"/>
        <v>0</v>
      </c>
      <c r="U93" s="226"/>
      <c r="W93" s="127">
        <f t="shared" si="14"/>
        <v>60.319916382822882</v>
      </c>
      <c r="X93" s="135"/>
      <c r="Y93" s="253">
        <f t="shared" si="21"/>
        <v>0</v>
      </c>
      <c r="AA93" s="264">
        <v>0</v>
      </c>
      <c r="AB93" s="269">
        <f t="shared" si="22"/>
        <v>0</v>
      </c>
      <c r="AC93" s="253">
        <f t="shared" si="23"/>
        <v>0</v>
      </c>
    </row>
    <row r="94" spans="1:29" x14ac:dyDescent="0.25">
      <c r="A94" t="s">
        <v>299</v>
      </c>
      <c r="B94" s="127">
        <f t="shared" si="15"/>
        <v>10.204628524137231</v>
      </c>
      <c r="C94" s="226">
        <v>1</v>
      </c>
      <c r="E94" s="127">
        <f t="shared" si="24"/>
        <v>43.088225325379803</v>
      </c>
      <c r="F94" s="226">
        <v>1</v>
      </c>
      <c r="H94" s="127">
        <f t="shared" si="16"/>
        <v>7.0270625333058527</v>
      </c>
      <c r="I94" s="226">
        <v>1</v>
      </c>
      <c r="K94" s="127">
        <f t="shared" si="17"/>
        <v>0</v>
      </c>
      <c r="L94" s="226">
        <v>1</v>
      </c>
      <c r="N94" s="127">
        <f t="shared" si="18"/>
        <v>0</v>
      </c>
      <c r="O94" s="226">
        <v>1</v>
      </c>
      <c r="Q94" s="134">
        <f t="shared" si="19"/>
        <v>0</v>
      </c>
      <c r="R94" s="226">
        <v>0</v>
      </c>
      <c r="T94" s="127">
        <f t="shared" si="20"/>
        <v>0</v>
      </c>
      <c r="U94" s="226"/>
      <c r="W94" s="127">
        <f t="shared" si="14"/>
        <v>60.319916382822882</v>
      </c>
      <c r="X94" s="135"/>
      <c r="Y94" s="253">
        <f t="shared" si="21"/>
        <v>0</v>
      </c>
      <c r="AA94" s="264">
        <v>0</v>
      </c>
      <c r="AB94" s="269">
        <f t="shared" si="22"/>
        <v>0</v>
      </c>
      <c r="AC94" s="253">
        <f t="shared" si="23"/>
        <v>0</v>
      </c>
    </row>
    <row r="95" spans="1:29" x14ac:dyDescent="0.25">
      <c r="A95" t="s">
        <v>300</v>
      </c>
      <c r="B95" s="127">
        <f t="shared" si="15"/>
        <v>10.204628524137231</v>
      </c>
      <c r="C95" s="226">
        <v>1</v>
      </c>
      <c r="E95" s="127">
        <f t="shared" si="24"/>
        <v>43.088225325379803</v>
      </c>
      <c r="F95" s="226">
        <v>1</v>
      </c>
      <c r="H95" s="127">
        <f t="shared" si="16"/>
        <v>7.0270625333058527</v>
      </c>
      <c r="I95" s="226">
        <v>1</v>
      </c>
      <c r="K95" s="127">
        <f t="shared" si="17"/>
        <v>0</v>
      </c>
      <c r="L95" s="226">
        <v>1</v>
      </c>
      <c r="N95" s="127">
        <f t="shared" si="18"/>
        <v>0</v>
      </c>
      <c r="O95" s="226">
        <v>1</v>
      </c>
      <c r="Q95" s="134">
        <f t="shared" si="19"/>
        <v>0</v>
      </c>
      <c r="R95" s="226">
        <v>0</v>
      </c>
      <c r="T95" s="127">
        <f t="shared" si="20"/>
        <v>0</v>
      </c>
      <c r="U95" s="226"/>
      <c r="W95" s="127">
        <f t="shared" si="14"/>
        <v>60.319916382822882</v>
      </c>
      <c r="X95" s="135"/>
      <c r="Y95" s="253">
        <f t="shared" si="21"/>
        <v>0</v>
      </c>
      <c r="AA95" s="264">
        <v>0</v>
      </c>
      <c r="AB95" s="269">
        <f t="shared" si="22"/>
        <v>0</v>
      </c>
      <c r="AC95" s="253">
        <f t="shared" si="23"/>
        <v>0</v>
      </c>
    </row>
    <row r="96" spans="1:29" x14ac:dyDescent="0.25">
      <c r="A96" t="s">
        <v>301</v>
      </c>
      <c r="B96" s="127">
        <f t="shared" si="15"/>
        <v>10.204628524137231</v>
      </c>
      <c r="C96" s="226">
        <v>1</v>
      </c>
      <c r="E96" s="127">
        <f t="shared" si="24"/>
        <v>43.088225325379803</v>
      </c>
      <c r="F96" s="226">
        <v>1</v>
      </c>
      <c r="H96" s="127">
        <f t="shared" si="16"/>
        <v>7.0270625333058527</v>
      </c>
      <c r="I96" s="226">
        <v>1</v>
      </c>
      <c r="K96" s="127">
        <f t="shared" si="17"/>
        <v>0</v>
      </c>
      <c r="L96" s="226">
        <v>1</v>
      </c>
      <c r="N96" s="127">
        <f t="shared" si="18"/>
        <v>0</v>
      </c>
      <c r="O96" s="226">
        <v>1</v>
      </c>
      <c r="Q96" s="134">
        <f t="shared" si="19"/>
        <v>0</v>
      </c>
      <c r="R96" s="226">
        <v>0</v>
      </c>
      <c r="T96" s="127">
        <f t="shared" si="20"/>
        <v>0</v>
      </c>
      <c r="U96" s="226"/>
      <c r="W96" s="127">
        <f t="shared" si="14"/>
        <v>60.319916382822882</v>
      </c>
      <c r="X96" s="135"/>
      <c r="Y96" s="253">
        <f t="shared" si="21"/>
        <v>0</v>
      </c>
      <c r="AA96" s="264">
        <v>0</v>
      </c>
      <c r="AB96" s="269">
        <f t="shared" si="22"/>
        <v>0</v>
      </c>
      <c r="AC96" s="253">
        <f t="shared" si="23"/>
        <v>0</v>
      </c>
    </row>
    <row r="97" spans="1:29" x14ac:dyDescent="0.25">
      <c r="A97" t="s">
        <v>302</v>
      </c>
      <c r="B97" s="127">
        <f t="shared" si="15"/>
        <v>10.204628524137231</v>
      </c>
      <c r="C97" s="226">
        <v>1</v>
      </c>
      <c r="E97" s="127">
        <f t="shared" si="24"/>
        <v>43.088225325379803</v>
      </c>
      <c r="F97" s="226">
        <v>1</v>
      </c>
      <c r="H97" s="127">
        <f t="shared" si="16"/>
        <v>7.0270625333058527</v>
      </c>
      <c r="I97" s="226">
        <v>1</v>
      </c>
      <c r="K97" s="127">
        <f t="shared" si="17"/>
        <v>0</v>
      </c>
      <c r="L97" s="226">
        <v>1</v>
      </c>
      <c r="N97" s="127">
        <f t="shared" si="18"/>
        <v>0</v>
      </c>
      <c r="O97" s="226">
        <v>1</v>
      </c>
      <c r="Q97" s="134">
        <f t="shared" si="19"/>
        <v>0</v>
      </c>
      <c r="R97" s="226">
        <v>0</v>
      </c>
      <c r="T97" s="127">
        <f t="shared" si="20"/>
        <v>0</v>
      </c>
      <c r="U97" s="226"/>
      <c r="W97" s="127">
        <f t="shared" si="14"/>
        <v>60.319916382822882</v>
      </c>
      <c r="X97" s="135"/>
      <c r="Y97" s="253">
        <f t="shared" si="21"/>
        <v>0</v>
      </c>
      <c r="AA97" s="264">
        <v>0</v>
      </c>
      <c r="AB97" s="269">
        <f t="shared" si="22"/>
        <v>0</v>
      </c>
      <c r="AC97" s="253">
        <f t="shared" si="23"/>
        <v>0</v>
      </c>
    </row>
    <row r="98" spans="1:29" x14ac:dyDescent="0.25">
      <c r="A98" t="s">
        <v>303</v>
      </c>
      <c r="B98" s="127">
        <f t="shared" si="15"/>
        <v>61.227771144823386</v>
      </c>
      <c r="C98" s="226">
        <v>6</v>
      </c>
      <c r="E98" s="127">
        <f t="shared" si="24"/>
        <v>0</v>
      </c>
      <c r="F98" s="226">
        <v>0</v>
      </c>
      <c r="H98" s="127">
        <f t="shared" si="16"/>
        <v>42.162375199835118</v>
      </c>
      <c r="I98" s="226">
        <v>6</v>
      </c>
      <c r="K98" s="127">
        <f t="shared" si="17"/>
        <v>0</v>
      </c>
      <c r="L98" s="226">
        <v>0</v>
      </c>
      <c r="N98" s="127">
        <f t="shared" si="18"/>
        <v>0</v>
      </c>
      <c r="O98" s="226">
        <v>6</v>
      </c>
      <c r="Q98" s="134">
        <f t="shared" si="19"/>
        <v>0</v>
      </c>
      <c r="R98" s="226">
        <v>1</v>
      </c>
      <c r="T98" s="127">
        <f t="shared" si="20"/>
        <v>0</v>
      </c>
      <c r="U98" s="226"/>
      <c r="W98" s="127">
        <f t="shared" si="14"/>
        <v>103.3901463446585</v>
      </c>
      <c r="X98" s="100">
        <f>+W98</f>
        <v>103.3901463446585</v>
      </c>
      <c r="Y98" s="253">
        <f t="shared" si="21"/>
        <v>8.6158455287215414</v>
      </c>
      <c r="AA98" s="264">
        <v>9.4512487557687095</v>
      </c>
      <c r="AB98" s="269">
        <f t="shared" si="22"/>
        <v>-0.83540322704716807</v>
      </c>
      <c r="AC98" s="273">
        <f t="shared" si="23"/>
        <v>-10.024838724566017</v>
      </c>
    </row>
    <row r="99" spans="1:29" x14ac:dyDescent="0.25">
      <c r="A99" t="s">
        <v>304</v>
      </c>
      <c r="B99" s="127">
        <f t="shared" si="15"/>
        <v>112.25091376550954</v>
      </c>
      <c r="C99" s="226">
        <v>11</v>
      </c>
      <c r="E99" s="127">
        <f t="shared" si="24"/>
        <v>0</v>
      </c>
      <c r="F99" s="226">
        <v>0</v>
      </c>
      <c r="H99" s="127">
        <f t="shared" si="16"/>
        <v>77.297687866364384</v>
      </c>
      <c r="I99" s="226">
        <v>11</v>
      </c>
      <c r="K99" s="127">
        <f t="shared" si="17"/>
        <v>0</v>
      </c>
      <c r="L99" s="226">
        <v>0</v>
      </c>
      <c r="N99" s="127">
        <f t="shared" si="18"/>
        <v>0</v>
      </c>
      <c r="O99" s="226">
        <v>11</v>
      </c>
      <c r="Q99" s="134">
        <f t="shared" si="19"/>
        <v>0</v>
      </c>
      <c r="R99" s="226">
        <v>1</v>
      </c>
      <c r="T99" s="127">
        <f t="shared" si="20"/>
        <v>0</v>
      </c>
      <c r="U99" s="226"/>
      <c r="W99" s="127">
        <f t="shared" si="14"/>
        <v>189.54860163187391</v>
      </c>
      <c r="X99" s="100">
        <f>+W99</f>
        <v>189.54860163187391</v>
      </c>
      <c r="Y99" s="253">
        <f t="shared" si="21"/>
        <v>15.795716802656159</v>
      </c>
      <c r="AA99" s="264">
        <v>17.327289385575966</v>
      </c>
      <c r="AB99" s="269">
        <f t="shared" si="22"/>
        <v>-1.5315725829198072</v>
      </c>
      <c r="AC99" s="273">
        <f t="shared" si="23"/>
        <v>-18.378870995037687</v>
      </c>
    </row>
    <row r="100" spans="1:29" x14ac:dyDescent="0.25">
      <c r="A100" t="s">
        <v>305</v>
      </c>
      <c r="B100" s="225">
        <f t="shared" si="15"/>
        <v>30.613885572411693</v>
      </c>
      <c r="C100" s="255">
        <v>3</v>
      </c>
      <c r="E100" s="225">
        <f t="shared" si="24"/>
        <v>0</v>
      </c>
      <c r="F100" s="255">
        <v>0</v>
      </c>
      <c r="H100" s="225">
        <f t="shared" si="16"/>
        <v>21.081187599917559</v>
      </c>
      <c r="I100" s="255">
        <v>3</v>
      </c>
      <c r="K100" s="225">
        <f t="shared" si="17"/>
        <v>0</v>
      </c>
      <c r="L100" s="255">
        <v>0</v>
      </c>
      <c r="N100" s="225">
        <f t="shared" si="18"/>
        <v>0</v>
      </c>
      <c r="O100" s="255">
        <v>3</v>
      </c>
      <c r="Q100" s="177">
        <f t="shared" si="19"/>
        <v>0</v>
      </c>
      <c r="R100" s="255">
        <v>1</v>
      </c>
      <c r="T100" s="225">
        <f t="shared" si="20"/>
        <v>0</v>
      </c>
      <c r="U100" s="255"/>
      <c r="W100" s="225">
        <f t="shared" si="14"/>
        <v>51.695073172329252</v>
      </c>
      <c r="X100" s="105">
        <f>+W100</f>
        <v>51.695073172329252</v>
      </c>
      <c r="Y100" s="256">
        <f t="shared" si="21"/>
        <v>4.3079227643607707</v>
      </c>
      <c r="AA100" s="265">
        <v>4.7256243778843547</v>
      </c>
      <c r="AB100" s="270">
        <f t="shared" si="22"/>
        <v>-0.41770161352358404</v>
      </c>
      <c r="AC100" s="274">
        <f t="shared" si="23"/>
        <v>-5.0124193622830084</v>
      </c>
    </row>
    <row r="101" spans="1:29" ht="16.5" thickBot="1" x14ac:dyDescent="0.3">
      <c r="A101" s="257" t="s">
        <v>306</v>
      </c>
      <c r="B101" s="258">
        <f>SUM(B5:B100)</f>
        <v>5245.1790614065549</v>
      </c>
      <c r="C101" s="259">
        <f>SUM(C5:C100)</f>
        <v>514</v>
      </c>
      <c r="E101" s="258">
        <f>SUM(E5:E100)</f>
        <v>13960.585005423072</v>
      </c>
      <c r="F101" s="259">
        <f>SUM(F5:F100)</f>
        <v>324</v>
      </c>
      <c r="H101" s="258">
        <f>SUM(H5:H100)</f>
        <v>2417.3095114572166</v>
      </c>
      <c r="I101" s="259">
        <f>SUM(I5:I100)</f>
        <v>344</v>
      </c>
      <c r="K101" s="258">
        <f>SUM(K5:K100)</f>
        <v>0</v>
      </c>
      <c r="L101" s="259">
        <f>SUM(L5:L100)</f>
        <v>349</v>
      </c>
      <c r="N101" s="258">
        <f>SUM(N5:N100)</f>
        <v>0</v>
      </c>
      <c r="O101" s="259">
        <f>SUM(O5:O100)</f>
        <v>369</v>
      </c>
      <c r="Q101" s="258">
        <f>SUM(Q5:Q100)</f>
        <v>0</v>
      </c>
      <c r="R101" s="259">
        <f>SUM(R5:R100)</f>
        <v>35</v>
      </c>
      <c r="T101" s="258">
        <f>SUM(T5:T100)</f>
        <v>3074.0180978139706</v>
      </c>
      <c r="U101" s="259">
        <f>SUM(U5:U100)</f>
        <v>29</v>
      </c>
      <c r="W101" s="258">
        <f>SUM(W5:W100)</f>
        <v>24697.091676100721</v>
      </c>
      <c r="X101" s="260">
        <f>SUM(X5:X100)</f>
        <v>24697.091676100779</v>
      </c>
      <c r="Y101" s="261">
        <f>SUM(Y5:Y100)</f>
        <v>2058.0909730083977</v>
      </c>
      <c r="AA101" s="263">
        <f>SUM(AA5:AA100)</f>
        <v>2230.1666666666665</v>
      </c>
      <c r="AB101" s="271">
        <f>SUM(AB5:AB100)</f>
        <v>-172.07569365826851</v>
      </c>
      <c r="AC101" s="272">
        <f>SUM(AC5:AC100)</f>
        <v>-2064.9083238992212</v>
      </c>
    </row>
    <row r="102" spans="1:29" x14ac:dyDescent="0.25">
      <c r="X102" s="66">
        <f>+X101-W101</f>
        <v>5.8207660913467407E-11</v>
      </c>
      <c r="AA102">
        <f>+AA101*12</f>
        <v>26762</v>
      </c>
    </row>
    <row r="103" spans="1:29" x14ac:dyDescent="0.25">
      <c r="AA103" s="262">
        <v>25830</v>
      </c>
    </row>
    <row r="104" spans="1:29" x14ac:dyDescent="0.25">
      <c r="AA104" s="262"/>
    </row>
    <row r="106" spans="1:29" x14ac:dyDescent="0.25">
      <c r="R106" s="1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2439E-BDBC-467F-9815-FF82254B82F4}">
  <dimension ref="A1:BC146"/>
  <sheetViews>
    <sheetView topLeftCell="F17" workbookViewId="0">
      <selection activeCell="R143" sqref="R143"/>
    </sheetView>
  </sheetViews>
  <sheetFormatPr defaultRowHeight="15" x14ac:dyDescent="0.25"/>
  <cols>
    <col min="1" max="1" width="8.140625" customWidth="1"/>
    <col min="2" max="2" width="23" customWidth="1"/>
    <col min="3" max="3" width="8" customWidth="1"/>
    <col min="4" max="4" width="29" customWidth="1"/>
    <col min="5" max="5" width="66" customWidth="1"/>
    <col min="6" max="6" width="5.7109375" customWidth="1"/>
    <col min="7" max="7" width="7.7109375" customWidth="1"/>
    <col min="8" max="8" width="7" customWidth="1"/>
    <col min="9" max="9" width="5" customWidth="1"/>
    <col min="10" max="10" width="10" customWidth="1"/>
    <col min="11" max="11" width="5" customWidth="1"/>
    <col min="12" max="12" width="10" customWidth="1"/>
    <col min="13" max="13" width="6" customWidth="1"/>
    <col min="14" max="14" width="17.85546875" customWidth="1"/>
    <col min="15" max="15" width="12.140625" customWidth="1"/>
    <col min="16" max="17" width="5" customWidth="1"/>
    <col min="18" max="48" width="10" customWidth="1"/>
    <col min="49" max="49" width="12" customWidth="1"/>
    <col min="50" max="50" width="10" customWidth="1"/>
    <col min="51" max="51" width="25" customWidth="1"/>
    <col min="52" max="52" width="37" customWidth="1"/>
  </cols>
  <sheetData>
    <row r="1" spans="1:55" ht="26.25" x14ac:dyDescent="0.25">
      <c r="B1" s="346" t="s">
        <v>0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ht="15.75" thickBot="1" x14ac:dyDescent="0.3">
      <c r="B4" s="3" t="s">
        <v>1</v>
      </c>
      <c r="C4" s="4"/>
      <c r="D4" s="3"/>
      <c r="E4" s="3"/>
      <c r="F4" s="207" t="s">
        <v>193</v>
      </c>
      <c r="G4" s="2"/>
      <c r="H4" s="2"/>
      <c r="I4" s="2"/>
      <c r="J4" s="3" t="s">
        <v>2</v>
      </c>
      <c r="K4" s="2"/>
      <c r="L4" s="2"/>
      <c r="M4" s="2"/>
      <c r="N4" s="2"/>
      <c r="O4" s="2"/>
      <c r="P4" s="3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x14ac:dyDescent="0.25">
      <c r="B5" s="208" t="s">
        <v>3</v>
      </c>
      <c r="C5" s="218">
        <v>2022</v>
      </c>
      <c r="D5" s="2"/>
      <c r="F5" s="359" t="s">
        <v>5</v>
      </c>
      <c r="G5" s="360"/>
      <c r="H5" s="361"/>
      <c r="I5" s="2"/>
      <c r="J5" s="208" t="s">
        <v>6</v>
      </c>
      <c r="K5" s="209" t="s">
        <v>7</v>
      </c>
      <c r="L5" s="210"/>
      <c r="M5" s="210"/>
      <c r="N5" s="21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x14ac:dyDescent="0.25">
      <c r="B6" s="212" t="s">
        <v>8</v>
      </c>
      <c r="C6" s="219" t="s">
        <v>9</v>
      </c>
      <c r="D6" s="2"/>
      <c r="E6" s="2"/>
      <c r="F6" s="362" t="s">
        <v>11</v>
      </c>
      <c r="G6" s="363"/>
      <c r="H6" s="364"/>
      <c r="I6" s="2"/>
      <c r="J6" s="212" t="s">
        <v>12</v>
      </c>
      <c r="K6" s="2" t="s">
        <v>13</v>
      </c>
      <c r="L6" s="206"/>
      <c r="M6" s="206"/>
      <c r="N6" s="21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x14ac:dyDescent="0.25">
      <c r="B7" s="212" t="s">
        <v>14</v>
      </c>
      <c r="C7" s="219">
        <v>2022</v>
      </c>
      <c r="D7" s="2"/>
      <c r="F7" s="365" t="s">
        <v>15</v>
      </c>
      <c r="G7" s="366"/>
      <c r="H7" s="367"/>
      <c r="I7" s="2"/>
      <c r="J7" s="212" t="s">
        <v>16</v>
      </c>
      <c r="K7" s="2" t="s">
        <v>17</v>
      </c>
      <c r="L7" s="206"/>
      <c r="M7" s="206"/>
      <c r="N7" s="21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ht="15.75" thickBot="1" x14ac:dyDescent="0.3">
      <c r="B8" s="212" t="s">
        <v>4</v>
      </c>
      <c r="C8" s="220">
        <v>7.0000000000000007E-2</v>
      </c>
      <c r="D8" s="2"/>
      <c r="E8" t="s">
        <v>195</v>
      </c>
      <c r="F8" s="368" t="s">
        <v>18</v>
      </c>
      <c r="G8" s="369"/>
      <c r="H8" s="370"/>
      <c r="I8" s="2"/>
      <c r="J8" s="214" t="s">
        <v>19</v>
      </c>
      <c r="K8" s="215" t="s">
        <v>20</v>
      </c>
      <c r="L8" s="216"/>
      <c r="M8" s="216"/>
      <c r="N8" s="21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x14ac:dyDescent="0.25">
      <c r="B9" s="212" t="s">
        <v>10</v>
      </c>
      <c r="C9" s="221" t="s">
        <v>192</v>
      </c>
      <c r="D9" s="2"/>
      <c r="E9" s="2"/>
      <c r="F9" s="371" t="s">
        <v>21</v>
      </c>
      <c r="G9" s="372"/>
      <c r="H9" s="373"/>
      <c r="I9" s="2"/>
      <c r="K9" s="206"/>
      <c r="L9" s="206"/>
      <c r="M9" s="206"/>
      <c r="N9" s="20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x14ac:dyDescent="0.25">
      <c r="A10" s="82"/>
      <c r="B10" s="212" t="s">
        <v>190</v>
      </c>
      <c r="C10" s="220">
        <v>0</v>
      </c>
      <c r="D10" s="2"/>
      <c r="E10" s="2"/>
      <c r="F10" s="374" t="s">
        <v>22</v>
      </c>
      <c r="G10" s="375"/>
      <c r="H10" s="376"/>
      <c r="I10" s="2"/>
      <c r="K10" s="206"/>
      <c r="L10" s="206"/>
      <c r="M10" s="206"/>
      <c r="N10" s="206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ht="15.75" thickBot="1" x14ac:dyDescent="0.3">
      <c r="A11" s="82"/>
      <c r="B11" s="214" t="s">
        <v>191</v>
      </c>
      <c r="C11" s="222">
        <v>0.03</v>
      </c>
      <c r="D11" s="2"/>
      <c r="E11" s="2"/>
      <c r="F11" s="343" t="s">
        <v>23</v>
      </c>
      <c r="G11" s="344"/>
      <c r="H11" s="345"/>
      <c r="I11" s="2"/>
      <c r="K11" s="206"/>
      <c r="L11" s="206"/>
      <c r="M11" s="206"/>
      <c r="N11" s="206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x14ac:dyDescent="0.25">
      <c r="A12" s="8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17.25" x14ac:dyDescent="0.25">
      <c r="A13" s="5"/>
      <c r="B13" s="355" t="s">
        <v>24</v>
      </c>
      <c r="C13" s="355"/>
      <c r="D13" s="355"/>
      <c r="E13" s="6" t="s">
        <v>28</v>
      </c>
      <c r="F13" s="355" t="s">
        <v>25</v>
      </c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6"/>
      <c r="R13" s="355" t="s">
        <v>26</v>
      </c>
      <c r="S13" s="355"/>
      <c r="T13" s="355"/>
      <c r="U13" s="355"/>
      <c r="V13" s="355"/>
      <c r="W13" s="355"/>
      <c r="X13" s="355"/>
      <c r="Y13" s="355"/>
      <c r="Z13" s="355"/>
      <c r="AA13" s="355"/>
      <c r="AB13" s="355"/>
      <c r="AC13" s="355"/>
      <c r="AD13" s="355"/>
      <c r="AE13" s="355"/>
      <c r="AF13" s="355"/>
      <c r="AG13" s="355"/>
      <c r="AH13" s="355"/>
      <c r="AI13" s="355"/>
      <c r="AJ13" s="355"/>
      <c r="AK13" s="355"/>
      <c r="AL13" s="355"/>
      <c r="AM13" s="355"/>
      <c r="AN13" s="355"/>
      <c r="AO13" s="355"/>
      <c r="AP13" s="355"/>
      <c r="AQ13" s="355"/>
      <c r="AR13" s="355"/>
      <c r="AS13" s="355"/>
      <c r="AT13" s="355"/>
      <c r="AU13" s="355"/>
      <c r="AV13" s="357" t="s">
        <v>27</v>
      </c>
      <c r="AW13" s="355"/>
      <c r="AX13" s="358"/>
      <c r="AY13" s="355" t="s">
        <v>28</v>
      </c>
      <c r="AZ13" s="355"/>
      <c r="BA13" s="2"/>
      <c r="BB13" s="2"/>
      <c r="BC13" s="2"/>
    </row>
    <row r="14" spans="1:55" x14ac:dyDescent="0.25">
      <c r="A14" s="7" t="s">
        <v>29</v>
      </c>
      <c r="B14" s="348"/>
      <c r="C14" s="349"/>
      <c r="D14" s="349"/>
      <c r="E14" s="9"/>
      <c r="F14" s="9" t="s">
        <v>6</v>
      </c>
      <c r="G14" s="9" t="s">
        <v>12</v>
      </c>
      <c r="H14" s="9" t="s">
        <v>30</v>
      </c>
      <c r="I14" s="9" t="s">
        <v>16</v>
      </c>
      <c r="J14" s="9" t="s">
        <v>31</v>
      </c>
      <c r="K14" s="9" t="s">
        <v>32</v>
      </c>
      <c r="L14" s="9" t="s">
        <v>31</v>
      </c>
      <c r="M14" s="9" t="s">
        <v>19</v>
      </c>
      <c r="N14" s="9" t="s">
        <v>33</v>
      </c>
      <c r="O14" s="9" t="s">
        <v>189</v>
      </c>
      <c r="P14" s="9" t="s">
        <v>34</v>
      </c>
      <c r="Q14" s="10" t="s">
        <v>35</v>
      </c>
      <c r="R14" s="9">
        <v>2022</v>
      </c>
      <c r="S14" s="9">
        <v>2023</v>
      </c>
      <c r="T14" s="9">
        <v>2024</v>
      </c>
      <c r="U14" s="9">
        <v>2025</v>
      </c>
      <c r="V14" s="9">
        <v>2026</v>
      </c>
      <c r="W14" s="9">
        <v>2027</v>
      </c>
      <c r="X14" s="9">
        <v>2028</v>
      </c>
      <c r="Y14" s="9">
        <v>2029</v>
      </c>
      <c r="Z14" s="9">
        <v>2030</v>
      </c>
      <c r="AA14" s="9">
        <v>2031</v>
      </c>
      <c r="AB14" s="9">
        <v>2032</v>
      </c>
      <c r="AC14" s="9">
        <v>2033</v>
      </c>
      <c r="AD14" s="9">
        <v>2034</v>
      </c>
      <c r="AE14" s="9">
        <v>2035</v>
      </c>
      <c r="AF14" s="9">
        <v>2036</v>
      </c>
      <c r="AG14" s="9">
        <v>2037</v>
      </c>
      <c r="AH14" s="9">
        <v>2038</v>
      </c>
      <c r="AI14" s="9">
        <v>2039</v>
      </c>
      <c r="AJ14" s="9">
        <v>2040</v>
      </c>
      <c r="AK14" s="9">
        <v>2041</v>
      </c>
      <c r="AL14" s="9">
        <v>2042</v>
      </c>
      <c r="AM14" s="9">
        <v>2043</v>
      </c>
      <c r="AN14" s="9">
        <v>2044</v>
      </c>
      <c r="AO14" s="9">
        <v>2045</v>
      </c>
      <c r="AP14" s="9">
        <v>2046</v>
      </c>
      <c r="AQ14" s="9">
        <v>2047</v>
      </c>
      <c r="AR14" s="9">
        <v>2048</v>
      </c>
      <c r="AS14" s="9">
        <v>2049</v>
      </c>
      <c r="AT14" s="9">
        <v>2050</v>
      </c>
      <c r="AU14" s="9">
        <v>2051</v>
      </c>
      <c r="AV14" s="11" t="s">
        <v>36</v>
      </c>
      <c r="AW14" s="9" t="s">
        <v>37</v>
      </c>
      <c r="AX14" s="12" t="s">
        <v>38</v>
      </c>
      <c r="AY14" s="349"/>
      <c r="AZ14" s="349"/>
      <c r="BA14" s="13"/>
      <c r="BB14" s="13"/>
      <c r="BC14" s="2"/>
    </row>
    <row r="15" spans="1:55" ht="17.25" x14ac:dyDescent="0.25">
      <c r="A15" s="14"/>
      <c r="B15" s="350" t="s">
        <v>39</v>
      </c>
      <c r="C15" s="348"/>
      <c r="D15" s="350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8"/>
      <c r="AW15" s="17"/>
      <c r="AX15" s="19"/>
      <c r="AY15" s="351"/>
      <c r="AZ15" s="351"/>
      <c r="BA15" s="2"/>
      <c r="BB15" s="2"/>
      <c r="BC15" s="2"/>
    </row>
    <row r="16" spans="1:55" ht="15" customHeight="1" x14ac:dyDescent="0.25">
      <c r="A16" s="20" t="s">
        <v>40</v>
      </c>
      <c r="B16" s="352" t="s">
        <v>41</v>
      </c>
      <c r="C16" s="353"/>
      <c r="D16" s="353"/>
      <c r="E16" s="21" t="s">
        <v>44</v>
      </c>
      <c r="F16" s="22">
        <v>0</v>
      </c>
      <c r="G16" s="9">
        <v>3</v>
      </c>
      <c r="H16" s="23">
        <v>1</v>
      </c>
      <c r="I16" s="24" t="s">
        <v>42</v>
      </c>
      <c r="J16" s="25">
        <v>2000</v>
      </c>
      <c r="K16" s="9" t="s">
        <v>43</v>
      </c>
      <c r="L16" s="25">
        <v>2589.4</v>
      </c>
      <c r="M16" s="26">
        <v>1</v>
      </c>
      <c r="N16" s="25">
        <f t="shared" ref="N16:N47" si="0">+J16*H16*(1+$C$8)*(1+K16)</f>
        <v>2589.4</v>
      </c>
      <c r="O16" s="25">
        <f t="shared" ref="O16:O47" si="1">+N16*(1+$C$10)</f>
        <v>2589.4</v>
      </c>
      <c r="P16" s="27">
        <v>2022</v>
      </c>
      <c r="Q16" s="10"/>
      <c r="R16" s="28">
        <v>2589</v>
      </c>
      <c r="S16" s="29"/>
      <c r="T16" s="29"/>
      <c r="U16" s="28">
        <v>0</v>
      </c>
      <c r="V16" s="29"/>
      <c r="W16" s="29"/>
      <c r="X16" s="28">
        <v>0</v>
      </c>
      <c r="Y16" s="29"/>
      <c r="Z16" s="29"/>
      <c r="AA16" s="28">
        <v>0</v>
      </c>
      <c r="AB16" s="29"/>
      <c r="AC16" s="29"/>
      <c r="AD16" s="28">
        <v>0</v>
      </c>
      <c r="AE16" s="29"/>
      <c r="AF16" s="29"/>
      <c r="AG16" s="28">
        <v>0</v>
      </c>
      <c r="AH16" s="29"/>
      <c r="AI16" s="29"/>
      <c r="AJ16" s="28">
        <v>0</v>
      </c>
      <c r="AK16" s="29"/>
      <c r="AL16" s="29"/>
      <c r="AM16" s="28">
        <v>0</v>
      </c>
      <c r="AN16" s="29"/>
      <c r="AO16" s="29"/>
      <c r="AP16" s="28">
        <v>0</v>
      </c>
      <c r="AQ16" s="29"/>
      <c r="AR16" s="29"/>
      <c r="AS16" s="28">
        <v>0</v>
      </c>
      <c r="AT16" s="29"/>
      <c r="AU16" s="29"/>
      <c r="AV16" s="30">
        <v>863</v>
      </c>
      <c r="AW16" s="29">
        <v>863</v>
      </c>
      <c r="AX16" s="31">
        <v>25890</v>
      </c>
      <c r="AY16" s="354" t="s">
        <v>44</v>
      </c>
      <c r="AZ16" s="348"/>
      <c r="BA16" s="2"/>
      <c r="BB16" s="2"/>
      <c r="BC16" s="2"/>
    </row>
    <row r="17" spans="1:55" x14ac:dyDescent="0.25">
      <c r="A17" s="20" t="s">
        <v>40</v>
      </c>
      <c r="B17" s="354" t="s">
        <v>45</v>
      </c>
      <c r="C17" s="348"/>
      <c r="D17" s="348"/>
      <c r="E17" s="8" t="s">
        <v>47</v>
      </c>
      <c r="F17" s="32">
        <v>1</v>
      </c>
      <c r="G17" s="9">
        <v>60</v>
      </c>
      <c r="H17" s="23">
        <v>2384</v>
      </c>
      <c r="I17" s="24" t="s">
        <v>46</v>
      </c>
      <c r="J17" s="25">
        <v>753.38</v>
      </c>
      <c r="K17" s="9" t="s">
        <v>43</v>
      </c>
      <c r="L17" s="25">
        <v>975.40108376677995</v>
      </c>
      <c r="M17" s="26">
        <v>1</v>
      </c>
      <c r="N17" s="25">
        <f t="shared" si="0"/>
        <v>2325356.189024</v>
      </c>
      <c r="O17" s="25">
        <f t="shared" si="1"/>
        <v>2325356.189024</v>
      </c>
      <c r="P17" s="9">
        <v>2077</v>
      </c>
      <c r="Q17" s="10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30">
        <v>0</v>
      </c>
      <c r="AW17" s="29">
        <v>38756</v>
      </c>
      <c r="AX17" s="31">
        <v>0</v>
      </c>
      <c r="AY17" s="354" t="s">
        <v>47</v>
      </c>
      <c r="AZ17" s="348"/>
      <c r="BA17" s="2"/>
      <c r="BB17" s="2"/>
      <c r="BC17" s="2"/>
    </row>
    <row r="18" spans="1:55" x14ac:dyDescent="0.25">
      <c r="A18" s="20" t="s">
        <v>40</v>
      </c>
      <c r="B18" s="378" t="s">
        <v>48</v>
      </c>
      <c r="C18" s="377"/>
      <c r="D18" s="377"/>
      <c r="E18" s="33" t="s">
        <v>49</v>
      </c>
      <c r="F18" s="32">
        <v>1</v>
      </c>
      <c r="G18" s="34">
        <v>40</v>
      </c>
      <c r="H18" s="35">
        <v>104</v>
      </c>
      <c r="I18" s="36" t="s">
        <v>46</v>
      </c>
      <c r="J18" s="37">
        <v>168.45</v>
      </c>
      <c r="K18" s="34" t="s">
        <v>43</v>
      </c>
      <c r="L18" s="37">
        <v>218.09226153846001</v>
      </c>
      <c r="M18" s="38">
        <v>1</v>
      </c>
      <c r="N18" s="25">
        <f t="shared" si="0"/>
        <v>22681.590360000002</v>
      </c>
      <c r="O18" s="25">
        <f t="shared" si="1"/>
        <v>22681.590360000002</v>
      </c>
      <c r="P18" s="34">
        <v>2057</v>
      </c>
      <c r="Q18" s="39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1">
        <v>0</v>
      </c>
      <c r="AW18" s="40">
        <v>567</v>
      </c>
      <c r="AX18" s="42">
        <v>0</v>
      </c>
      <c r="AY18" s="378" t="s">
        <v>49</v>
      </c>
      <c r="AZ18" s="348"/>
      <c r="BA18" s="2"/>
      <c r="BB18" s="2"/>
      <c r="BC18" s="2"/>
    </row>
    <row r="19" spans="1:55" ht="15" customHeight="1" x14ac:dyDescent="0.25">
      <c r="A19" s="20" t="s">
        <v>40</v>
      </c>
      <c r="B19" s="354" t="s">
        <v>50</v>
      </c>
      <c r="C19" s="348"/>
      <c r="D19" s="348"/>
      <c r="E19" s="8" t="s">
        <v>51</v>
      </c>
      <c r="F19" s="32">
        <v>1</v>
      </c>
      <c r="G19" s="9">
        <v>10</v>
      </c>
      <c r="H19" s="23">
        <v>1</v>
      </c>
      <c r="I19" s="24" t="s">
        <v>42</v>
      </c>
      <c r="J19" s="25">
        <v>3500</v>
      </c>
      <c r="K19" s="9" t="s">
        <v>43</v>
      </c>
      <c r="L19" s="25">
        <v>4531.45</v>
      </c>
      <c r="M19" s="26">
        <v>1</v>
      </c>
      <c r="N19" s="25">
        <f t="shared" si="0"/>
        <v>4531.45</v>
      </c>
      <c r="O19" s="25">
        <f t="shared" si="1"/>
        <v>4531.45</v>
      </c>
      <c r="P19" s="9">
        <v>2027</v>
      </c>
      <c r="Q19" s="10"/>
      <c r="R19" s="29"/>
      <c r="S19" s="29"/>
      <c r="T19" s="29"/>
      <c r="U19" s="29"/>
      <c r="V19" s="29"/>
      <c r="W19" s="29">
        <f>+N19</f>
        <v>4531.45</v>
      </c>
      <c r="X19" s="29"/>
      <c r="Y19" s="29"/>
      <c r="Z19" s="29"/>
      <c r="AA19" s="29"/>
      <c r="AB19" s="29"/>
      <c r="AC19" s="29"/>
      <c r="AD19" s="29"/>
      <c r="AE19" s="29"/>
      <c r="AF19" s="29"/>
      <c r="AG19" s="29">
        <v>4531</v>
      </c>
      <c r="AH19" s="29"/>
      <c r="AI19" s="29"/>
      <c r="AJ19" s="29"/>
      <c r="AK19" s="29"/>
      <c r="AL19" s="29"/>
      <c r="AM19" s="29"/>
      <c r="AN19" s="29"/>
      <c r="AO19" s="29"/>
      <c r="AP19" s="29"/>
      <c r="AQ19" s="29">
        <v>4531</v>
      </c>
      <c r="AR19" s="29"/>
      <c r="AS19" s="29"/>
      <c r="AT19" s="29"/>
      <c r="AU19" s="29"/>
      <c r="AV19" s="30">
        <v>453</v>
      </c>
      <c r="AW19" s="29">
        <v>453</v>
      </c>
      <c r="AX19" s="31">
        <v>13593</v>
      </c>
      <c r="AY19" s="354" t="s">
        <v>51</v>
      </c>
      <c r="AZ19" s="348"/>
      <c r="BA19" s="2"/>
      <c r="BB19" s="2"/>
      <c r="BC19" s="2"/>
    </row>
    <row r="20" spans="1:55" ht="17.25" x14ac:dyDescent="0.25">
      <c r="A20" s="14"/>
      <c r="B20" s="350" t="s">
        <v>52</v>
      </c>
      <c r="C20" s="377"/>
      <c r="D20" s="350"/>
      <c r="E20" s="14"/>
      <c r="F20" s="15"/>
      <c r="G20" s="15"/>
      <c r="H20" s="15"/>
      <c r="I20" s="15"/>
      <c r="J20" s="15"/>
      <c r="K20" s="15"/>
      <c r="L20" s="15"/>
      <c r="M20" s="15"/>
      <c r="N20" s="25">
        <f t="shared" si="0"/>
        <v>0</v>
      </c>
      <c r="O20" s="25">
        <f t="shared" si="1"/>
        <v>0</v>
      </c>
      <c r="P20" s="15"/>
      <c r="Q20" s="16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8"/>
      <c r="AW20" s="17"/>
      <c r="AX20" s="19"/>
      <c r="AY20" s="351"/>
      <c r="AZ20" s="351"/>
      <c r="BA20" s="2"/>
      <c r="BB20" s="2"/>
      <c r="BC20" s="2"/>
    </row>
    <row r="21" spans="1:55" ht="15" customHeight="1" x14ac:dyDescent="0.25">
      <c r="A21" s="20" t="s">
        <v>40</v>
      </c>
      <c r="B21" s="354" t="s">
        <v>53</v>
      </c>
      <c r="C21" s="348"/>
      <c r="D21" s="348"/>
      <c r="E21" s="8" t="s">
        <v>54</v>
      </c>
      <c r="F21" s="22">
        <v>0</v>
      </c>
      <c r="G21" s="9">
        <v>25</v>
      </c>
      <c r="H21" s="23">
        <v>1</v>
      </c>
      <c r="I21" s="24" t="s">
        <v>42</v>
      </c>
      <c r="J21" s="25">
        <v>2500</v>
      </c>
      <c r="K21" s="9" t="s">
        <v>43</v>
      </c>
      <c r="L21" s="25">
        <v>3236.75</v>
      </c>
      <c r="M21" s="26">
        <v>1</v>
      </c>
      <c r="N21" s="25">
        <f t="shared" si="0"/>
        <v>3236.75</v>
      </c>
      <c r="O21" s="25">
        <f t="shared" si="1"/>
        <v>3236.75</v>
      </c>
      <c r="P21" s="9">
        <v>2042</v>
      </c>
      <c r="Q21" s="10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>
        <v>3237</v>
      </c>
      <c r="AM21" s="29"/>
      <c r="AN21" s="29"/>
      <c r="AO21" s="29"/>
      <c r="AP21" s="29"/>
      <c r="AQ21" s="29"/>
      <c r="AR21" s="29"/>
      <c r="AS21" s="29"/>
      <c r="AT21" s="29"/>
      <c r="AU21" s="29"/>
      <c r="AV21" s="30">
        <v>108</v>
      </c>
      <c r="AW21" s="29">
        <v>129</v>
      </c>
      <c r="AX21" s="31">
        <v>3237</v>
      </c>
      <c r="AY21" s="354" t="s">
        <v>54</v>
      </c>
      <c r="AZ21" s="348"/>
      <c r="BA21" s="2"/>
      <c r="BB21" s="2"/>
      <c r="BC21" s="2"/>
    </row>
    <row r="22" spans="1:55" x14ac:dyDescent="0.25">
      <c r="A22" s="20" t="s">
        <v>40</v>
      </c>
      <c r="B22" s="354" t="s">
        <v>55</v>
      </c>
      <c r="C22" s="348"/>
      <c r="D22" s="348"/>
      <c r="E22" s="8" t="s">
        <v>56</v>
      </c>
      <c r="F22" s="22">
        <v>0</v>
      </c>
      <c r="G22" s="9">
        <v>25</v>
      </c>
      <c r="H22" s="23">
        <v>1</v>
      </c>
      <c r="I22" s="24" t="s">
        <v>42</v>
      </c>
      <c r="J22" s="25">
        <v>4000</v>
      </c>
      <c r="K22" s="9" t="s">
        <v>43</v>
      </c>
      <c r="L22" s="25">
        <v>5178.8</v>
      </c>
      <c r="M22" s="26">
        <v>1</v>
      </c>
      <c r="N22" s="25">
        <f t="shared" si="0"/>
        <v>5178.8</v>
      </c>
      <c r="O22" s="25">
        <f t="shared" si="1"/>
        <v>5178.8</v>
      </c>
      <c r="P22" s="9">
        <v>2042</v>
      </c>
      <c r="Q22" s="10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>
        <v>5179</v>
      </c>
      <c r="AM22" s="29"/>
      <c r="AN22" s="29"/>
      <c r="AO22" s="29"/>
      <c r="AP22" s="29"/>
      <c r="AQ22" s="29"/>
      <c r="AR22" s="29"/>
      <c r="AS22" s="29"/>
      <c r="AT22" s="29"/>
      <c r="AU22" s="29"/>
      <c r="AV22" s="30">
        <v>173</v>
      </c>
      <c r="AW22" s="29">
        <v>207</v>
      </c>
      <c r="AX22" s="31">
        <v>5179</v>
      </c>
      <c r="AY22" s="354" t="s">
        <v>56</v>
      </c>
      <c r="AZ22" s="348"/>
      <c r="BA22" s="2"/>
      <c r="BB22" s="2"/>
      <c r="BC22" s="2"/>
    </row>
    <row r="23" spans="1:55" ht="15" customHeight="1" x14ac:dyDescent="0.25">
      <c r="A23" s="20" t="s">
        <v>40</v>
      </c>
      <c r="B23" s="378" t="s">
        <v>57</v>
      </c>
      <c r="C23" s="377"/>
      <c r="D23" s="377"/>
      <c r="E23" s="33" t="s">
        <v>58</v>
      </c>
      <c r="F23" s="32">
        <v>1</v>
      </c>
      <c r="G23" s="34">
        <v>50</v>
      </c>
      <c r="H23" s="35">
        <v>634</v>
      </c>
      <c r="I23" s="36" t="s">
        <v>46</v>
      </c>
      <c r="J23" s="37">
        <v>62.91</v>
      </c>
      <c r="K23" s="34" t="s">
        <v>43</v>
      </c>
      <c r="L23" s="37">
        <v>81.449585015772996</v>
      </c>
      <c r="M23" s="38">
        <v>1</v>
      </c>
      <c r="N23" s="25">
        <f t="shared" si="0"/>
        <v>51639.031817999996</v>
      </c>
      <c r="O23" s="25">
        <f t="shared" si="1"/>
        <v>51639.031817999996</v>
      </c>
      <c r="P23" s="34">
        <v>2042</v>
      </c>
      <c r="Q23" s="39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>
        <v>51639</v>
      </c>
      <c r="AM23" s="40"/>
      <c r="AN23" s="40"/>
      <c r="AO23" s="40"/>
      <c r="AP23" s="40"/>
      <c r="AQ23" s="40"/>
      <c r="AR23" s="40"/>
      <c r="AS23" s="40"/>
      <c r="AT23" s="40"/>
      <c r="AU23" s="40"/>
      <c r="AV23" s="41">
        <v>1721</v>
      </c>
      <c r="AW23" s="40">
        <v>1033</v>
      </c>
      <c r="AX23" s="42">
        <v>51639</v>
      </c>
      <c r="AY23" s="378" t="s">
        <v>58</v>
      </c>
      <c r="AZ23" s="348"/>
      <c r="BA23" s="2"/>
      <c r="BB23" s="2"/>
      <c r="BC23" s="2"/>
    </row>
    <row r="24" spans="1:55" ht="15" customHeight="1" x14ac:dyDescent="0.25">
      <c r="A24" s="20" t="s">
        <v>40</v>
      </c>
      <c r="B24" s="354" t="s">
        <v>59</v>
      </c>
      <c r="C24" s="348"/>
      <c r="D24" s="348"/>
      <c r="E24" s="8" t="s">
        <v>60</v>
      </c>
      <c r="F24" s="22">
        <v>0</v>
      </c>
      <c r="G24" s="9">
        <v>50</v>
      </c>
      <c r="H24" s="23">
        <v>634</v>
      </c>
      <c r="I24" s="24" t="s">
        <v>46</v>
      </c>
      <c r="J24" s="25">
        <v>94.37</v>
      </c>
      <c r="K24" s="9" t="s">
        <v>43</v>
      </c>
      <c r="L24" s="25">
        <v>122.18083785489</v>
      </c>
      <c r="M24" s="26">
        <v>1</v>
      </c>
      <c r="N24" s="25">
        <f t="shared" si="0"/>
        <v>77462.651926000006</v>
      </c>
      <c r="O24" s="25">
        <f t="shared" si="1"/>
        <v>77462.651926000006</v>
      </c>
      <c r="P24" s="9">
        <v>2067</v>
      </c>
      <c r="Q24" s="10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30">
        <v>0</v>
      </c>
      <c r="AW24" s="29">
        <v>1549</v>
      </c>
      <c r="AX24" s="31">
        <v>0</v>
      </c>
      <c r="AY24" s="354" t="s">
        <v>60</v>
      </c>
      <c r="AZ24" s="348"/>
      <c r="BA24" s="2"/>
      <c r="BB24" s="2"/>
      <c r="BC24" s="2"/>
    </row>
    <row r="25" spans="1:55" ht="15" customHeight="1" x14ac:dyDescent="0.25">
      <c r="A25" s="20" t="s">
        <v>40</v>
      </c>
      <c r="B25" s="378" t="s">
        <v>61</v>
      </c>
      <c r="C25" s="377"/>
      <c r="D25" s="377"/>
      <c r="E25" s="33" t="s">
        <v>62</v>
      </c>
      <c r="F25" s="32">
        <v>1</v>
      </c>
      <c r="G25" s="34">
        <v>50</v>
      </c>
      <c r="H25" s="35">
        <v>100</v>
      </c>
      <c r="I25" s="36" t="s">
        <v>46</v>
      </c>
      <c r="J25" s="37">
        <v>37.85</v>
      </c>
      <c r="K25" s="34" t="s">
        <v>43</v>
      </c>
      <c r="L25" s="37">
        <v>49.004395000000002</v>
      </c>
      <c r="M25" s="38">
        <v>1</v>
      </c>
      <c r="N25" s="25">
        <f t="shared" si="0"/>
        <v>4900.4395000000004</v>
      </c>
      <c r="O25" s="25">
        <f t="shared" si="1"/>
        <v>4900.4395000000004</v>
      </c>
      <c r="P25" s="34">
        <v>2067</v>
      </c>
      <c r="Q25" s="39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1">
        <v>0</v>
      </c>
      <c r="AW25" s="40">
        <v>98</v>
      </c>
      <c r="AX25" s="42">
        <v>0</v>
      </c>
      <c r="AY25" s="378" t="s">
        <v>62</v>
      </c>
      <c r="AZ25" s="348"/>
      <c r="BA25" s="2"/>
      <c r="BB25" s="2"/>
      <c r="BC25" s="2"/>
    </row>
    <row r="26" spans="1:55" ht="15" customHeight="1" x14ac:dyDescent="0.25">
      <c r="A26" s="20" t="s">
        <v>40</v>
      </c>
      <c r="B26" s="354" t="s">
        <v>57</v>
      </c>
      <c r="C26" s="348"/>
      <c r="D26" s="348"/>
      <c r="E26" s="8" t="s">
        <v>63</v>
      </c>
      <c r="F26" s="32">
        <v>1</v>
      </c>
      <c r="G26" s="9">
        <v>50</v>
      </c>
      <c r="H26" s="23">
        <v>316</v>
      </c>
      <c r="I26" s="24" t="s">
        <v>46</v>
      </c>
      <c r="J26" s="25">
        <v>62.91</v>
      </c>
      <c r="K26" s="9" t="s">
        <v>43</v>
      </c>
      <c r="L26" s="25">
        <v>81.449580063290995</v>
      </c>
      <c r="M26" s="26">
        <v>1</v>
      </c>
      <c r="N26" s="25">
        <f t="shared" si="0"/>
        <v>25738.066331999999</v>
      </c>
      <c r="O26" s="25">
        <f t="shared" si="1"/>
        <v>25738.066331999999</v>
      </c>
      <c r="P26" s="9">
        <v>2042</v>
      </c>
      <c r="Q26" s="1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>
        <v>25738</v>
      </c>
      <c r="AM26" s="29"/>
      <c r="AN26" s="29"/>
      <c r="AO26" s="29"/>
      <c r="AP26" s="29"/>
      <c r="AQ26" s="29"/>
      <c r="AR26" s="29"/>
      <c r="AS26" s="29"/>
      <c r="AT26" s="29"/>
      <c r="AU26" s="29"/>
      <c r="AV26" s="30">
        <v>858</v>
      </c>
      <c r="AW26" s="29">
        <v>515</v>
      </c>
      <c r="AX26" s="31">
        <v>25738</v>
      </c>
      <c r="AY26" s="354" t="s">
        <v>63</v>
      </c>
      <c r="AZ26" s="348"/>
      <c r="BA26" s="2"/>
      <c r="BB26" s="2"/>
      <c r="BC26" s="2"/>
    </row>
    <row r="27" spans="1:55" ht="15" customHeight="1" x14ac:dyDescent="0.25">
      <c r="A27" s="20" t="s">
        <v>40</v>
      </c>
      <c r="B27" s="378" t="s">
        <v>59</v>
      </c>
      <c r="C27" s="377"/>
      <c r="D27" s="377"/>
      <c r="E27" s="33" t="s">
        <v>64</v>
      </c>
      <c r="F27" s="22">
        <v>0</v>
      </c>
      <c r="G27" s="34">
        <v>50</v>
      </c>
      <c r="H27" s="35">
        <v>316</v>
      </c>
      <c r="I27" s="36" t="s">
        <v>46</v>
      </c>
      <c r="J27" s="37">
        <v>94.37</v>
      </c>
      <c r="K27" s="34" t="s">
        <v>43</v>
      </c>
      <c r="L27" s="37">
        <v>122.1808221519</v>
      </c>
      <c r="M27" s="38">
        <v>1</v>
      </c>
      <c r="N27" s="25">
        <f t="shared" si="0"/>
        <v>38609.145124000002</v>
      </c>
      <c r="O27" s="25">
        <f t="shared" si="1"/>
        <v>38609.145124000002</v>
      </c>
      <c r="P27" s="34">
        <v>2067</v>
      </c>
      <c r="Q27" s="39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1">
        <v>0</v>
      </c>
      <c r="AW27" s="40">
        <v>772</v>
      </c>
      <c r="AX27" s="42">
        <v>0</v>
      </c>
      <c r="AY27" s="378" t="s">
        <v>64</v>
      </c>
      <c r="AZ27" s="348"/>
      <c r="BA27" s="2"/>
      <c r="BB27" s="2"/>
      <c r="BC27" s="2"/>
    </row>
    <row r="28" spans="1:55" ht="15" customHeight="1" x14ac:dyDescent="0.25">
      <c r="A28" s="20" t="s">
        <v>40</v>
      </c>
      <c r="B28" s="354" t="s">
        <v>61</v>
      </c>
      <c r="C28" s="348"/>
      <c r="D28" s="348"/>
      <c r="E28" s="8" t="s">
        <v>65</v>
      </c>
      <c r="F28" s="32">
        <v>1</v>
      </c>
      <c r="G28" s="9">
        <v>50</v>
      </c>
      <c r="H28" s="23">
        <v>316</v>
      </c>
      <c r="I28" s="24" t="s">
        <v>46</v>
      </c>
      <c r="J28" s="25">
        <v>37.85</v>
      </c>
      <c r="K28" s="9" t="s">
        <v>43</v>
      </c>
      <c r="L28" s="25">
        <v>49.004387341772002</v>
      </c>
      <c r="M28" s="26">
        <v>1</v>
      </c>
      <c r="N28" s="25">
        <f t="shared" si="0"/>
        <v>15485.38882</v>
      </c>
      <c r="O28" s="25">
        <f t="shared" si="1"/>
        <v>15485.38882</v>
      </c>
      <c r="P28" s="9">
        <v>2067</v>
      </c>
      <c r="Q28" s="10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30">
        <v>0</v>
      </c>
      <c r="AW28" s="29">
        <v>310</v>
      </c>
      <c r="AX28" s="31">
        <v>0</v>
      </c>
      <c r="AY28" s="354" t="s">
        <v>65</v>
      </c>
      <c r="AZ28" s="348"/>
      <c r="BA28" s="2"/>
      <c r="BB28" s="2"/>
      <c r="BC28" s="2"/>
    </row>
    <row r="29" spans="1:55" x14ac:dyDescent="0.25">
      <c r="A29" s="20" t="s">
        <v>40</v>
      </c>
      <c r="B29" s="378" t="s">
        <v>66</v>
      </c>
      <c r="C29" s="377"/>
      <c r="D29" s="377"/>
      <c r="E29" s="33" t="s">
        <v>67</v>
      </c>
      <c r="F29" s="32">
        <v>1</v>
      </c>
      <c r="G29" s="34">
        <v>40</v>
      </c>
      <c r="H29" s="35">
        <v>110</v>
      </c>
      <c r="I29" s="36" t="s">
        <v>46</v>
      </c>
      <c r="J29" s="37">
        <v>69.569999999999993</v>
      </c>
      <c r="K29" s="34" t="s">
        <v>43</v>
      </c>
      <c r="L29" s="37">
        <v>90.072289999999995</v>
      </c>
      <c r="M29" s="38">
        <v>1</v>
      </c>
      <c r="N29" s="25">
        <f t="shared" si="0"/>
        <v>9907.9506899999978</v>
      </c>
      <c r="O29" s="25">
        <f t="shared" si="1"/>
        <v>9907.9506899999978</v>
      </c>
      <c r="P29" s="34">
        <v>2057</v>
      </c>
      <c r="Q29" s="39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1">
        <v>0</v>
      </c>
      <c r="AW29" s="40">
        <v>248</v>
      </c>
      <c r="AX29" s="42">
        <v>0</v>
      </c>
      <c r="AY29" s="378" t="s">
        <v>67</v>
      </c>
      <c r="AZ29" s="348"/>
      <c r="BA29" s="2"/>
      <c r="BB29" s="2"/>
      <c r="BC29" s="2"/>
    </row>
    <row r="30" spans="1:55" ht="15" customHeight="1" x14ac:dyDescent="0.25">
      <c r="A30" s="20" t="s">
        <v>40</v>
      </c>
      <c r="B30" s="354" t="s">
        <v>68</v>
      </c>
      <c r="C30" s="348"/>
      <c r="D30" s="348"/>
      <c r="E30" s="8" t="s">
        <v>69</v>
      </c>
      <c r="F30" s="32">
        <v>1</v>
      </c>
      <c r="G30" s="9">
        <v>40</v>
      </c>
      <c r="H30" s="23">
        <v>110</v>
      </c>
      <c r="I30" s="24" t="s">
        <v>46</v>
      </c>
      <c r="J30" s="25">
        <v>86.67</v>
      </c>
      <c r="K30" s="9" t="s">
        <v>43</v>
      </c>
      <c r="L30" s="25">
        <v>112.21165999999999</v>
      </c>
      <c r="M30" s="26">
        <v>1</v>
      </c>
      <c r="N30" s="25">
        <f t="shared" si="0"/>
        <v>12343.28139</v>
      </c>
      <c r="O30" s="25">
        <f t="shared" si="1"/>
        <v>12343.28139</v>
      </c>
      <c r="P30" s="9">
        <v>2057</v>
      </c>
      <c r="Q30" s="10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30">
        <v>0</v>
      </c>
      <c r="AW30" s="29">
        <v>309</v>
      </c>
      <c r="AX30" s="31">
        <v>0</v>
      </c>
      <c r="AY30" s="354" t="s">
        <v>69</v>
      </c>
      <c r="AZ30" s="348"/>
      <c r="BA30" s="2"/>
      <c r="BB30" s="2"/>
      <c r="BC30" s="2"/>
    </row>
    <row r="31" spans="1:55" x14ac:dyDescent="0.25">
      <c r="A31" s="20" t="s">
        <v>40</v>
      </c>
      <c r="B31" s="378" t="s">
        <v>70</v>
      </c>
      <c r="C31" s="377"/>
      <c r="D31" s="377"/>
      <c r="E31" s="33" t="s">
        <v>72</v>
      </c>
      <c r="F31" s="32">
        <v>1</v>
      </c>
      <c r="G31" s="34">
        <v>20</v>
      </c>
      <c r="H31" s="35">
        <v>1</v>
      </c>
      <c r="I31" s="36" t="s">
        <v>71</v>
      </c>
      <c r="J31" s="37">
        <v>900</v>
      </c>
      <c r="K31" s="34" t="s">
        <v>43</v>
      </c>
      <c r="L31" s="37">
        <v>1165.23</v>
      </c>
      <c r="M31" s="38">
        <v>1</v>
      </c>
      <c r="N31" s="25">
        <f t="shared" si="0"/>
        <v>1165.23</v>
      </c>
      <c r="O31" s="25">
        <f t="shared" si="1"/>
        <v>1165.23</v>
      </c>
      <c r="P31" s="34">
        <v>2037</v>
      </c>
      <c r="Q31" s="39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>
        <v>1165</v>
      </c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1">
        <v>39</v>
      </c>
      <c r="AW31" s="40">
        <v>58</v>
      </c>
      <c r="AX31" s="42">
        <v>1165</v>
      </c>
      <c r="AY31" s="378" t="s">
        <v>72</v>
      </c>
      <c r="AZ31" s="348"/>
      <c r="BA31" s="2"/>
      <c r="BB31" s="2"/>
      <c r="BC31" s="2"/>
    </row>
    <row r="32" spans="1:55" ht="17.25" x14ac:dyDescent="0.25">
      <c r="A32" s="14"/>
      <c r="B32" s="350" t="s">
        <v>73</v>
      </c>
      <c r="C32" s="348"/>
      <c r="D32" s="350"/>
      <c r="E32" s="14"/>
      <c r="F32" s="15"/>
      <c r="G32" s="15"/>
      <c r="H32" s="15"/>
      <c r="I32" s="15"/>
      <c r="J32" s="15"/>
      <c r="K32" s="15"/>
      <c r="L32" s="15"/>
      <c r="M32" s="15"/>
      <c r="N32" s="25">
        <f t="shared" si="0"/>
        <v>0</v>
      </c>
      <c r="O32" s="25">
        <f t="shared" si="1"/>
        <v>0</v>
      </c>
      <c r="P32" s="15"/>
      <c r="Q32" s="16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8"/>
      <c r="AW32" s="17"/>
      <c r="AX32" s="19"/>
      <c r="AY32" s="351"/>
      <c r="AZ32" s="351"/>
      <c r="BA32" s="2"/>
      <c r="BB32" s="2"/>
      <c r="BC32" s="2"/>
    </row>
    <row r="33" spans="1:55" x14ac:dyDescent="0.25">
      <c r="A33" s="43" t="s">
        <v>74</v>
      </c>
      <c r="B33" s="354" t="s">
        <v>75</v>
      </c>
      <c r="C33" s="348"/>
      <c r="D33" s="348"/>
      <c r="E33" s="8" t="s">
        <v>77</v>
      </c>
      <c r="F33" s="32">
        <v>1</v>
      </c>
      <c r="G33" s="9">
        <v>5</v>
      </c>
      <c r="H33" s="23">
        <v>1</v>
      </c>
      <c r="I33" s="24" t="s">
        <v>42</v>
      </c>
      <c r="J33" s="25">
        <v>1500</v>
      </c>
      <c r="K33" s="9" t="s">
        <v>76</v>
      </c>
      <c r="L33" s="25">
        <v>1749.45</v>
      </c>
      <c r="M33" s="26">
        <v>1</v>
      </c>
      <c r="N33" s="25">
        <f t="shared" si="0"/>
        <v>1749.45</v>
      </c>
      <c r="O33" s="25">
        <f t="shared" si="1"/>
        <v>1749.45</v>
      </c>
      <c r="P33" s="9">
        <v>2027</v>
      </c>
      <c r="Q33" s="10"/>
      <c r="R33" s="29"/>
      <c r="S33" s="29"/>
      <c r="T33" s="29"/>
      <c r="U33" s="29"/>
      <c r="V33" s="29"/>
      <c r="W33" s="29">
        <v>1749</v>
      </c>
      <c r="X33" s="29"/>
      <c r="Y33" s="29"/>
      <c r="Z33" s="29"/>
      <c r="AA33" s="29"/>
      <c r="AB33" s="29">
        <v>1749</v>
      </c>
      <c r="AC33" s="29"/>
      <c r="AD33" s="29"/>
      <c r="AE33" s="29"/>
      <c r="AF33" s="29"/>
      <c r="AG33" s="29">
        <v>1749</v>
      </c>
      <c r="AH33" s="29"/>
      <c r="AI33" s="29"/>
      <c r="AJ33" s="29"/>
      <c r="AK33" s="29"/>
      <c r="AL33" s="29">
        <v>1749</v>
      </c>
      <c r="AM33" s="29"/>
      <c r="AN33" s="29"/>
      <c r="AO33" s="29"/>
      <c r="AP33" s="29"/>
      <c r="AQ33" s="29">
        <v>1749</v>
      </c>
      <c r="AR33" s="29"/>
      <c r="AS33" s="29"/>
      <c r="AT33" s="29"/>
      <c r="AU33" s="29"/>
      <c r="AV33" s="30">
        <v>292</v>
      </c>
      <c r="AW33" s="29">
        <v>350</v>
      </c>
      <c r="AX33" s="31">
        <v>8745</v>
      </c>
      <c r="AY33" s="354" t="s">
        <v>77</v>
      </c>
      <c r="AZ33" s="348"/>
      <c r="BA33" s="2"/>
      <c r="BB33" s="2"/>
      <c r="BC33" s="2"/>
    </row>
    <row r="34" spans="1:55" ht="15" customHeight="1" x14ac:dyDescent="0.25">
      <c r="A34" s="43" t="s">
        <v>74</v>
      </c>
      <c r="B34" s="354" t="s">
        <v>78</v>
      </c>
      <c r="C34" s="348"/>
      <c r="D34" s="348"/>
      <c r="E34" s="8" t="s">
        <v>79</v>
      </c>
      <c r="F34" s="44">
        <v>2</v>
      </c>
      <c r="G34" s="9">
        <v>20</v>
      </c>
      <c r="H34" s="23">
        <v>254</v>
      </c>
      <c r="I34" s="24" t="s">
        <v>46</v>
      </c>
      <c r="J34" s="25">
        <v>16.649999999999999</v>
      </c>
      <c r="K34" s="9" t="s">
        <v>76</v>
      </c>
      <c r="L34" s="25">
        <v>19.418907874016</v>
      </c>
      <c r="M34" s="26">
        <v>0.25</v>
      </c>
      <c r="N34" s="25">
        <f t="shared" si="0"/>
        <v>4932.3993300000002</v>
      </c>
      <c r="O34" s="25">
        <f t="shared" si="1"/>
        <v>4932.3993300000002</v>
      </c>
      <c r="P34" s="9">
        <v>2027</v>
      </c>
      <c r="Q34" s="10"/>
      <c r="R34" s="29"/>
      <c r="S34" s="29"/>
      <c r="T34" s="29"/>
      <c r="U34" s="29"/>
      <c r="V34" s="29"/>
      <c r="W34" s="29">
        <v>1233</v>
      </c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>
        <v>1233</v>
      </c>
      <c r="AR34" s="29"/>
      <c r="AS34" s="29"/>
      <c r="AT34" s="29"/>
      <c r="AU34" s="29"/>
      <c r="AV34" s="30">
        <v>82</v>
      </c>
      <c r="AW34" s="29">
        <v>62</v>
      </c>
      <c r="AX34" s="31">
        <v>2466</v>
      </c>
      <c r="AY34" s="354" t="s">
        <v>79</v>
      </c>
      <c r="AZ34" s="348"/>
      <c r="BA34" s="2"/>
      <c r="BB34" s="2"/>
      <c r="BC34" s="2"/>
    </row>
    <row r="35" spans="1:55" ht="15" customHeight="1" x14ac:dyDescent="0.25">
      <c r="A35" s="43" t="s">
        <v>74</v>
      </c>
      <c r="B35" s="378" t="s">
        <v>78</v>
      </c>
      <c r="C35" s="377"/>
      <c r="D35" s="377"/>
      <c r="E35" s="33" t="s">
        <v>80</v>
      </c>
      <c r="F35" s="22">
        <v>0</v>
      </c>
      <c r="G35" s="34">
        <v>20</v>
      </c>
      <c r="H35" s="35">
        <v>254</v>
      </c>
      <c r="I35" s="36" t="s">
        <v>46</v>
      </c>
      <c r="J35" s="37">
        <v>16.649999999999999</v>
      </c>
      <c r="K35" s="34" t="s">
        <v>76</v>
      </c>
      <c r="L35" s="37">
        <v>19.418907874016</v>
      </c>
      <c r="M35" s="38">
        <v>1</v>
      </c>
      <c r="N35" s="25">
        <f t="shared" si="0"/>
        <v>4932.3993300000002</v>
      </c>
      <c r="O35" s="25">
        <f t="shared" si="1"/>
        <v>4932.3993300000002</v>
      </c>
      <c r="P35" s="34">
        <v>2037</v>
      </c>
      <c r="Q35" s="39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>
        <v>4932</v>
      </c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1">
        <v>164</v>
      </c>
      <c r="AW35" s="40">
        <v>247</v>
      </c>
      <c r="AX35" s="42">
        <v>4932</v>
      </c>
      <c r="AY35" s="378" t="s">
        <v>80</v>
      </c>
      <c r="AZ35" s="348"/>
      <c r="BA35" s="2"/>
      <c r="BB35" s="2"/>
      <c r="BC35" s="2"/>
    </row>
    <row r="36" spans="1:55" ht="15" customHeight="1" x14ac:dyDescent="0.25">
      <c r="A36" s="43" t="s">
        <v>74</v>
      </c>
      <c r="B36" s="354" t="s">
        <v>81</v>
      </c>
      <c r="C36" s="348"/>
      <c r="D36" s="348"/>
      <c r="E36" s="8" t="s">
        <v>83</v>
      </c>
      <c r="F36" s="32">
        <v>1</v>
      </c>
      <c r="G36" s="9">
        <v>20</v>
      </c>
      <c r="H36" s="23">
        <v>350</v>
      </c>
      <c r="I36" s="24" t="s">
        <v>82</v>
      </c>
      <c r="J36" s="25">
        <v>42.58</v>
      </c>
      <c r="K36" s="9" t="s">
        <v>43</v>
      </c>
      <c r="L36" s="25">
        <v>55.128326000000001</v>
      </c>
      <c r="M36" s="26">
        <v>1</v>
      </c>
      <c r="N36" s="25">
        <f t="shared" si="0"/>
        <v>19294.914100000002</v>
      </c>
      <c r="O36" s="25">
        <f t="shared" si="1"/>
        <v>19294.914100000002</v>
      </c>
      <c r="P36" s="9">
        <v>2037</v>
      </c>
      <c r="Q36" s="10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>
        <v>19295</v>
      </c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30">
        <v>643</v>
      </c>
      <c r="AW36" s="29">
        <v>965</v>
      </c>
      <c r="AX36" s="31">
        <v>19295</v>
      </c>
      <c r="AY36" s="354" t="s">
        <v>83</v>
      </c>
      <c r="AZ36" s="348"/>
      <c r="BA36" s="2"/>
      <c r="BB36" s="2"/>
      <c r="BC36" s="2"/>
    </row>
    <row r="37" spans="1:55" ht="15" customHeight="1" x14ac:dyDescent="0.25">
      <c r="A37" s="43" t="s">
        <v>74</v>
      </c>
      <c r="B37" s="378" t="s">
        <v>84</v>
      </c>
      <c r="C37" s="377"/>
      <c r="D37" s="377"/>
      <c r="E37" s="33" t="s">
        <v>85</v>
      </c>
      <c r="F37" s="32">
        <v>1</v>
      </c>
      <c r="G37" s="34">
        <v>10</v>
      </c>
      <c r="H37" s="35">
        <v>5</v>
      </c>
      <c r="I37" s="36" t="s">
        <v>46</v>
      </c>
      <c r="J37" s="37">
        <v>85.16</v>
      </c>
      <c r="K37" s="34" t="s">
        <v>43</v>
      </c>
      <c r="L37" s="37">
        <v>110.25762</v>
      </c>
      <c r="M37" s="38">
        <v>1</v>
      </c>
      <c r="N37" s="25">
        <f t="shared" si="0"/>
        <v>551.28325999999993</v>
      </c>
      <c r="O37" s="25">
        <f t="shared" si="1"/>
        <v>551.28325999999993</v>
      </c>
      <c r="P37" s="34">
        <v>2027</v>
      </c>
      <c r="Q37" s="39"/>
      <c r="R37" s="40"/>
      <c r="S37" s="40"/>
      <c r="T37" s="40"/>
      <c r="U37" s="40"/>
      <c r="V37" s="40"/>
      <c r="W37" s="40">
        <v>551</v>
      </c>
      <c r="X37" s="40"/>
      <c r="Y37" s="40"/>
      <c r="Z37" s="40"/>
      <c r="AA37" s="40"/>
      <c r="AB37" s="40"/>
      <c r="AC37" s="40"/>
      <c r="AD37" s="40"/>
      <c r="AE37" s="40"/>
      <c r="AF37" s="40"/>
      <c r="AG37" s="40">
        <v>551</v>
      </c>
      <c r="AH37" s="40"/>
      <c r="AI37" s="40"/>
      <c r="AJ37" s="40"/>
      <c r="AK37" s="40"/>
      <c r="AL37" s="40"/>
      <c r="AM37" s="40"/>
      <c r="AN37" s="40"/>
      <c r="AO37" s="40"/>
      <c r="AP37" s="40"/>
      <c r="AQ37" s="40">
        <v>551</v>
      </c>
      <c r="AR37" s="40"/>
      <c r="AS37" s="40"/>
      <c r="AT37" s="40"/>
      <c r="AU37" s="40"/>
      <c r="AV37" s="41">
        <v>55</v>
      </c>
      <c r="AW37" s="40">
        <v>55</v>
      </c>
      <c r="AX37" s="42">
        <v>1653</v>
      </c>
      <c r="AY37" s="378" t="s">
        <v>85</v>
      </c>
      <c r="AZ37" s="348"/>
      <c r="BA37" s="2"/>
      <c r="BB37" s="2"/>
      <c r="BC37" s="2"/>
    </row>
    <row r="38" spans="1:55" x14ac:dyDescent="0.25">
      <c r="A38" s="43" t="s">
        <v>74</v>
      </c>
      <c r="B38" s="354" t="s">
        <v>86</v>
      </c>
      <c r="C38" s="348"/>
      <c r="D38" s="348"/>
      <c r="E38" s="8" t="s">
        <v>87</v>
      </c>
      <c r="F38" s="32">
        <v>1</v>
      </c>
      <c r="G38" s="9">
        <v>10</v>
      </c>
      <c r="H38" s="23">
        <v>815</v>
      </c>
      <c r="I38" s="24" t="s">
        <v>82</v>
      </c>
      <c r="J38" s="25">
        <v>7.86</v>
      </c>
      <c r="K38" s="9" t="s">
        <v>76</v>
      </c>
      <c r="L38" s="25">
        <v>9.1671139877301009</v>
      </c>
      <c r="M38" s="26">
        <v>1</v>
      </c>
      <c r="N38" s="25">
        <f t="shared" si="0"/>
        <v>7471.2011700000021</v>
      </c>
      <c r="O38" s="25">
        <f t="shared" si="1"/>
        <v>7471.2011700000021</v>
      </c>
      <c r="P38" s="9">
        <v>2027</v>
      </c>
      <c r="Q38" s="10"/>
      <c r="R38" s="29"/>
      <c r="S38" s="29"/>
      <c r="T38" s="29"/>
      <c r="U38" s="29"/>
      <c r="V38" s="29"/>
      <c r="W38" s="29">
        <v>7471</v>
      </c>
      <c r="X38" s="29"/>
      <c r="Y38" s="29"/>
      <c r="Z38" s="29"/>
      <c r="AA38" s="29"/>
      <c r="AB38" s="29"/>
      <c r="AC38" s="29"/>
      <c r="AD38" s="29"/>
      <c r="AE38" s="29"/>
      <c r="AF38" s="29"/>
      <c r="AG38" s="29">
        <v>7471</v>
      </c>
      <c r="AH38" s="29"/>
      <c r="AI38" s="29"/>
      <c r="AJ38" s="29"/>
      <c r="AK38" s="29"/>
      <c r="AL38" s="29"/>
      <c r="AM38" s="29"/>
      <c r="AN38" s="29"/>
      <c r="AO38" s="29"/>
      <c r="AP38" s="29"/>
      <c r="AQ38" s="29">
        <v>7471</v>
      </c>
      <c r="AR38" s="29"/>
      <c r="AS38" s="29"/>
      <c r="AT38" s="29"/>
      <c r="AU38" s="29"/>
      <c r="AV38" s="30">
        <v>747</v>
      </c>
      <c r="AW38" s="29">
        <v>747</v>
      </c>
      <c r="AX38" s="31">
        <v>22413</v>
      </c>
      <c r="AY38" s="354" t="s">
        <v>87</v>
      </c>
      <c r="AZ38" s="348"/>
      <c r="BA38" s="2"/>
      <c r="BB38" s="2"/>
      <c r="BC38" s="2"/>
    </row>
    <row r="39" spans="1:55" x14ac:dyDescent="0.25">
      <c r="A39" s="43" t="s">
        <v>74</v>
      </c>
      <c r="B39" s="378" t="s">
        <v>88</v>
      </c>
      <c r="C39" s="377"/>
      <c r="D39" s="377"/>
      <c r="E39" s="33" t="s">
        <v>89</v>
      </c>
      <c r="F39" s="32">
        <v>1</v>
      </c>
      <c r="G39" s="34">
        <v>20</v>
      </c>
      <c r="H39" s="35">
        <v>147</v>
      </c>
      <c r="I39" s="36" t="s">
        <v>46</v>
      </c>
      <c r="J39" s="37">
        <v>19.989999999999998</v>
      </c>
      <c r="K39" s="34" t="s">
        <v>76</v>
      </c>
      <c r="L39" s="37">
        <v>23.314358503400999</v>
      </c>
      <c r="M39" s="38">
        <v>1</v>
      </c>
      <c r="N39" s="25">
        <f t="shared" si="0"/>
        <v>3427.2075390000005</v>
      </c>
      <c r="O39" s="25">
        <f t="shared" si="1"/>
        <v>3427.2075390000005</v>
      </c>
      <c r="P39" s="34">
        <v>2037</v>
      </c>
      <c r="Q39" s="39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>
        <v>3427</v>
      </c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1">
        <v>114</v>
      </c>
      <c r="AW39" s="40">
        <v>171</v>
      </c>
      <c r="AX39" s="42">
        <v>3427</v>
      </c>
      <c r="AY39" s="378" t="s">
        <v>89</v>
      </c>
      <c r="AZ39" s="348"/>
      <c r="BA39" s="2"/>
      <c r="BB39" s="2"/>
      <c r="BC39" s="2"/>
    </row>
    <row r="40" spans="1:55" x14ac:dyDescent="0.25">
      <c r="A40" s="43" t="s">
        <v>74</v>
      </c>
      <c r="B40" s="354" t="s">
        <v>90</v>
      </c>
      <c r="C40" s="348"/>
      <c r="D40" s="348"/>
      <c r="E40" s="8" t="s">
        <v>91</v>
      </c>
      <c r="F40" s="32">
        <v>1</v>
      </c>
      <c r="G40" s="9">
        <v>30</v>
      </c>
      <c r="H40" s="23">
        <v>1</v>
      </c>
      <c r="I40" s="24" t="s">
        <v>42</v>
      </c>
      <c r="J40" s="25">
        <v>6300</v>
      </c>
      <c r="K40" s="9" t="s">
        <v>43</v>
      </c>
      <c r="L40" s="25">
        <v>8156.61</v>
      </c>
      <c r="M40" s="26">
        <v>1</v>
      </c>
      <c r="N40" s="25">
        <f t="shared" si="0"/>
        <v>8156.61</v>
      </c>
      <c r="O40" s="25">
        <f t="shared" si="1"/>
        <v>8156.61</v>
      </c>
      <c r="P40" s="9">
        <v>2047</v>
      </c>
      <c r="Q40" s="10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>
        <v>8157</v>
      </c>
      <c r="AR40" s="29"/>
      <c r="AS40" s="29"/>
      <c r="AT40" s="29"/>
      <c r="AU40" s="29"/>
      <c r="AV40" s="30">
        <v>272</v>
      </c>
      <c r="AW40" s="29">
        <v>272</v>
      </c>
      <c r="AX40" s="31">
        <v>8157</v>
      </c>
      <c r="AY40" s="354" t="s">
        <v>91</v>
      </c>
      <c r="AZ40" s="348"/>
      <c r="BA40" s="2"/>
      <c r="BB40" s="2"/>
      <c r="BC40" s="2"/>
    </row>
    <row r="41" spans="1:55" ht="17.25" x14ac:dyDescent="0.25">
      <c r="A41" s="14"/>
      <c r="B41" s="350" t="s">
        <v>92</v>
      </c>
      <c r="C41" s="377"/>
      <c r="D41" s="350"/>
      <c r="E41" s="14"/>
      <c r="F41" s="15"/>
      <c r="G41" s="15"/>
      <c r="H41" s="15"/>
      <c r="I41" s="15"/>
      <c r="J41" s="15"/>
      <c r="K41" s="15"/>
      <c r="L41" s="15"/>
      <c r="M41" s="15"/>
      <c r="N41" s="25">
        <f t="shared" si="0"/>
        <v>0</v>
      </c>
      <c r="O41" s="25">
        <f t="shared" si="1"/>
        <v>0</v>
      </c>
      <c r="P41" s="15"/>
      <c r="Q41" s="16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8"/>
      <c r="AW41" s="17"/>
      <c r="AX41" s="19"/>
      <c r="AY41" s="351"/>
      <c r="AZ41" s="351"/>
      <c r="BA41" s="2"/>
      <c r="BB41" s="2"/>
      <c r="BC41" s="2"/>
    </row>
    <row r="42" spans="1:55" x14ac:dyDescent="0.25">
      <c r="A42" s="43" t="s">
        <v>74</v>
      </c>
      <c r="B42" s="354" t="s">
        <v>93</v>
      </c>
      <c r="C42" s="348"/>
      <c r="D42" s="348"/>
      <c r="E42" s="8" t="s">
        <v>94</v>
      </c>
      <c r="F42" s="32">
        <v>1</v>
      </c>
      <c r="G42" s="9">
        <v>25</v>
      </c>
      <c r="H42" s="23">
        <v>18</v>
      </c>
      <c r="I42" s="24" t="s">
        <v>71</v>
      </c>
      <c r="J42" s="25">
        <v>149.88</v>
      </c>
      <c r="K42" s="9" t="s">
        <v>43</v>
      </c>
      <c r="L42" s="25">
        <v>194.04971666667001</v>
      </c>
      <c r="M42" s="26">
        <v>1</v>
      </c>
      <c r="N42" s="25">
        <f t="shared" si="0"/>
        <v>3492.8934480000003</v>
      </c>
      <c r="O42" s="25">
        <f t="shared" si="1"/>
        <v>3492.8934480000003</v>
      </c>
      <c r="P42" s="9">
        <v>2042</v>
      </c>
      <c r="Q42" s="10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>
        <v>3493</v>
      </c>
      <c r="AM42" s="29"/>
      <c r="AN42" s="29"/>
      <c r="AO42" s="29"/>
      <c r="AP42" s="29"/>
      <c r="AQ42" s="29"/>
      <c r="AR42" s="29"/>
      <c r="AS42" s="29"/>
      <c r="AT42" s="29"/>
      <c r="AU42" s="29"/>
      <c r="AV42" s="30">
        <v>116</v>
      </c>
      <c r="AW42" s="29">
        <v>140</v>
      </c>
      <c r="AX42" s="31">
        <v>3493</v>
      </c>
      <c r="AY42" s="354" t="s">
        <v>94</v>
      </c>
      <c r="AZ42" s="348"/>
      <c r="BA42" s="2"/>
      <c r="BB42" s="2"/>
      <c r="BC42" s="2"/>
    </row>
    <row r="43" spans="1:55" x14ac:dyDescent="0.25">
      <c r="A43" s="45" t="s">
        <v>95</v>
      </c>
      <c r="B43" s="354" t="s">
        <v>96</v>
      </c>
      <c r="C43" s="348"/>
      <c r="D43" s="348"/>
      <c r="E43" s="8" t="s">
        <v>97</v>
      </c>
      <c r="F43" s="22">
        <v>0</v>
      </c>
      <c r="G43" s="9">
        <v>20</v>
      </c>
      <c r="H43" s="23">
        <v>2</v>
      </c>
      <c r="I43" s="24" t="s">
        <v>71</v>
      </c>
      <c r="J43" s="25">
        <v>7000</v>
      </c>
      <c r="K43" s="9" t="s">
        <v>43</v>
      </c>
      <c r="L43" s="25">
        <v>9062.9</v>
      </c>
      <c r="M43" s="26">
        <v>1</v>
      </c>
      <c r="N43" s="25">
        <f t="shared" si="0"/>
        <v>18125.8</v>
      </c>
      <c r="O43" s="25">
        <f t="shared" si="1"/>
        <v>18125.8</v>
      </c>
      <c r="P43" s="9">
        <v>2037</v>
      </c>
      <c r="Q43" s="10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>
        <v>18126</v>
      </c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30">
        <v>604</v>
      </c>
      <c r="AW43" s="29">
        <v>906</v>
      </c>
      <c r="AX43" s="31">
        <v>18126</v>
      </c>
      <c r="AY43" s="354" t="s">
        <v>97</v>
      </c>
      <c r="AZ43" s="348"/>
      <c r="BA43" s="2"/>
      <c r="BB43" s="2"/>
      <c r="BC43" s="2"/>
    </row>
    <row r="44" spans="1:55" x14ac:dyDescent="0.25">
      <c r="A44" s="20" t="s">
        <v>40</v>
      </c>
      <c r="B44" s="378" t="s">
        <v>98</v>
      </c>
      <c r="C44" s="377"/>
      <c r="D44" s="377"/>
      <c r="E44" s="33" t="s">
        <v>99</v>
      </c>
      <c r="F44" s="22">
        <v>0</v>
      </c>
      <c r="G44" s="34">
        <v>7</v>
      </c>
      <c r="H44" s="35">
        <v>1</v>
      </c>
      <c r="I44" s="36" t="s">
        <v>42</v>
      </c>
      <c r="J44" s="37">
        <v>2500</v>
      </c>
      <c r="K44" s="34" t="s">
        <v>43</v>
      </c>
      <c r="L44" s="37">
        <v>3236.75</v>
      </c>
      <c r="M44" s="38">
        <v>1</v>
      </c>
      <c r="N44" s="25">
        <f t="shared" si="0"/>
        <v>3236.75</v>
      </c>
      <c r="O44" s="25">
        <f t="shared" si="1"/>
        <v>3236.75</v>
      </c>
      <c r="P44" s="34">
        <v>2024</v>
      </c>
      <c r="Q44" s="39"/>
      <c r="R44" s="40"/>
      <c r="S44" s="40"/>
      <c r="T44" s="40">
        <v>3237</v>
      </c>
      <c r="U44" s="40"/>
      <c r="V44" s="40"/>
      <c r="W44" s="40"/>
      <c r="X44" s="40"/>
      <c r="Y44" s="40"/>
      <c r="Z44" s="40"/>
      <c r="AA44" s="40">
        <v>3237</v>
      </c>
      <c r="AB44" s="40"/>
      <c r="AC44" s="40"/>
      <c r="AD44" s="40"/>
      <c r="AE44" s="40"/>
      <c r="AF44" s="40"/>
      <c r="AG44" s="40"/>
      <c r="AH44" s="40">
        <v>3237</v>
      </c>
      <c r="AI44" s="40"/>
      <c r="AJ44" s="40"/>
      <c r="AK44" s="40"/>
      <c r="AL44" s="40"/>
      <c r="AM44" s="40"/>
      <c r="AN44" s="40"/>
      <c r="AO44" s="40">
        <v>3237</v>
      </c>
      <c r="AP44" s="40"/>
      <c r="AQ44" s="40"/>
      <c r="AR44" s="40"/>
      <c r="AS44" s="40"/>
      <c r="AT44" s="40"/>
      <c r="AU44" s="40"/>
      <c r="AV44" s="41">
        <v>432</v>
      </c>
      <c r="AW44" s="40">
        <v>462</v>
      </c>
      <c r="AX44" s="42">
        <v>12948</v>
      </c>
      <c r="AY44" s="378" t="s">
        <v>99</v>
      </c>
      <c r="AZ44" s="348"/>
      <c r="BA44" s="2"/>
      <c r="BB44" s="2"/>
      <c r="BC44" s="2"/>
    </row>
    <row r="45" spans="1:55" x14ac:dyDescent="0.25">
      <c r="A45" s="45" t="s">
        <v>95</v>
      </c>
      <c r="B45" s="354" t="s">
        <v>100</v>
      </c>
      <c r="C45" s="348"/>
      <c r="D45" s="348"/>
      <c r="E45" s="8" t="s">
        <v>101</v>
      </c>
      <c r="F45" s="32">
        <v>1</v>
      </c>
      <c r="G45" s="9">
        <v>15</v>
      </c>
      <c r="H45" s="23">
        <v>1</v>
      </c>
      <c r="I45" s="24" t="s">
        <v>71</v>
      </c>
      <c r="J45" s="25">
        <v>1045.01</v>
      </c>
      <c r="K45" s="9" t="s">
        <v>43</v>
      </c>
      <c r="L45" s="25">
        <v>1352.9736</v>
      </c>
      <c r="M45" s="26">
        <v>1</v>
      </c>
      <c r="N45" s="25">
        <f t="shared" si="0"/>
        <v>1352.9744470000001</v>
      </c>
      <c r="O45" s="25">
        <f t="shared" si="1"/>
        <v>1352.9744470000001</v>
      </c>
      <c r="P45" s="9">
        <v>2031</v>
      </c>
      <c r="Q45" s="10"/>
      <c r="R45" s="29"/>
      <c r="S45" s="29"/>
      <c r="T45" s="29"/>
      <c r="U45" s="29"/>
      <c r="V45" s="29"/>
      <c r="W45" s="29"/>
      <c r="X45" s="29"/>
      <c r="Y45" s="29"/>
      <c r="Z45" s="29"/>
      <c r="AA45" s="29">
        <v>1353</v>
      </c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>
        <v>1353</v>
      </c>
      <c r="AQ45" s="29"/>
      <c r="AR45" s="29"/>
      <c r="AS45" s="29"/>
      <c r="AT45" s="29"/>
      <c r="AU45" s="29"/>
      <c r="AV45" s="30">
        <v>90</v>
      </c>
      <c r="AW45" s="29">
        <v>90</v>
      </c>
      <c r="AX45" s="31">
        <v>2706</v>
      </c>
      <c r="AY45" s="354" t="s">
        <v>101</v>
      </c>
      <c r="AZ45" s="348"/>
      <c r="BA45" s="2"/>
      <c r="BB45" s="2"/>
      <c r="BC45" s="2"/>
    </row>
    <row r="46" spans="1:55" x14ac:dyDescent="0.25">
      <c r="A46" s="20" t="s">
        <v>40</v>
      </c>
      <c r="B46" s="378" t="s">
        <v>102</v>
      </c>
      <c r="C46" s="377"/>
      <c r="D46" s="377"/>
      <c r="E46" s="33" t="s">
        <v>103</v>
      </c>
      <c r="F46" s="32">
        <v>1</v>
      </c>
      <c r="G46" s="34">
        <v>18</v>
      </c>
      <c r="H46" s="35">
        <v>1</v>
      </c>
      <c r="I46" s="36" t="s">
        <v>71</v>
      </c>
      <c r="J46" s="37">
        <v>6411.93</v>
      </c>
      <c r="K46" s="34" t="s">
        <v>43</v>
      </c>
      <c r="L46" s="37">
        <v>8301.5316999999995</v>
      </c>
      <c r="M46" s="38">
        <v>1</v>
      </c>
      <c r="N46" s="25">
        <f t="shared" si="0"/>
        <v>8301.5257710000005</v>
      </c>
      <c r="O46" s="25">
        <f t="shared" si="1"/>
        <v>8301.5257710000005</v>
      </c>
      <c r="P46" s="34">
        <v>2034</v>
      </c>
      <c r="Q46" s="39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>
        <v>8302</v>
      </c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1">
        <v>277</v>
      </c>
      <c r="AW46" s="40">
        <v>461</v>
      </c>
      <c r="AX46" s="42">
        <v>8302</v>
      </c>
      <c r="AY46" s="378" t="s">
        <v>103</v>
      </c>
      <c r="AZ46" s="348"/>
      <c r="BA46" s="2"/>
      <c r="BB46" s="2"/>
      <c r="BC46" s="2"/>
    </row>
    <row r="47" spans="1:55" x14ac:dyDescent="0.25">
      <c r="A47" s="43" t="s">
        <v>74</v>
      </c>
      <c r="B47" s="354" t="s">
        <v>104</v>
      </c>
      <c r="C47" s="348"/>
      <c r="D47" s="348"/>
      <c r="E47" s="8" t="s">
        <v>105</v>
      </c>
      <c r="F47" s="32">
        <v>1</v>
      </c>
      <c r="G47" s="9">
        <v>15</v>
      </c>
      <c r="H47" s="23">
        <v>1</v>
      </c>
      <c r="I47" s="24" t="s">
        <v>71</v>
      </c>
      <c r="J47" s="25">
        <v>565.15</v>
      </c>
      <c r="K47" s="9" t="s">
        <v>43</v>
      </c>
      <c r="L47" s="25">
        <v>731.69910000000004</v>
      </c>
      <c r="M47" s="26">
        <v>1</v>
      </c>
      <c r="N47" s="25">
        <f t="shared" si="0"/>
        <v>731.69970499999999</v>
      </c>
      <c r="O47" s="25">
        <f t="shared" si="1"/>
        <v>731.69970499999999</v>
      </c>
      <c r="P47" s="9">
        <v>2031</v>
      </c>
      <c r="Q47" s="10"/>
      <c r="R47" s="29"/>
      <c r="S47" s="29"/>
      <c r="T47" s="29"/>
      <c r="U47" s="29"/>
      <c r="V47" s="29"/>
      <c r="W47" s="29"/>
      <c r="X47" s="29"/>
      <c r="Y47" s="29"/>
      <c r="Z47" s="29"/>
      <c r="AA47" s="29">
        <v>732</v>
      </c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>
        <v>732</v>
      </c>
      <c r="AQ47" s="29"/>
      <c r="AR47" s="29"/>
      <c r="AS47" s="29"/>
      <c r="AT47" s="29"/>
      <c r="AU47" s="29"/>
      <c r="AV47" s="30">
        <v>49</v>
      </c>
      <c r="AW47" s="29">
        <v>49</v>
      </c>
      <c r="AX47" s="31">
        <v>1464</v>
      </c>
      <c r="AY47" s="354" t="s">
        <v>105</v>
      </c>
      <c r="AZ47" s="348"/>
      <c r="BA47" s="2"/>
      <c r="BB47" s="2"/>
      <c r="BC47" s="2"/>
    </row>
    <row r="48" spans="1:55" ht="15" customHeight="1" x14ac:dyDescent="0.25">
      <c r="A48" s="46" t="s">
        <v>106</v>
      </c>
      <c r="B48" s="378" t="s">
        <v>107</v>
      </c>
      <c r="C48" s="377"/>
      <c r="D48" s="377"/>
      <c r="E48" s="33" t="s">
        <v>108</v>
      </c>
      <c r="F48" s="32">
        <v>1</v>
      </c>
      <c r="G48" s="34">
        <v>20</v>
      </c>
      <c r="H48" s="35">
        <v>1</v>
      </c>
      <c r="I48" s="36" t="s">
        <v>42</v>
      </c>
      <c r="J48" s="37">
        <v>25000</v>
      </c>
      <c r="K48" s="34" t="s">
        <v>43</v>
      </c>
      <c r="L48" s="37">
        <v>32367.5</v>
      </c>
      <c r="M48" s="38">
        <v>1</v>
      </c>
      <c r="N48" s="25">
        <f t="shared" ref="N48:N79" si="2">+J48*H48*(1+$C$8)*(1+K48)</f>
        <v>32367.5</v>
      </c>
      <c r="O48" s="25">
        <f t="shared" ref="O48:O79" si="3">+N48*(1+$C$10)</f>
        <v>32367.5</v>
      </c>
      <c r="P48" s="34">
        <v>2037</v>
      </c>
      <c r="Q48" s="39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>
        <v>32368</v>
      </c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1">
        <v>1079</v>
      </c>
      <c r="AW48" s="40">
        <v>1618</v>
      </c>
      <c r="AX48" s="42">
        <v>32368</v>
      </c>
      <c r="AY48" s="378" t="s">
        <v>108</v>
      </c>
      <c r="AZ48" s="348"/>
      <c r="BA48" s="2"/>
      <c r="BB48" s="2"/>
      <c r="BC48" s="2"/>
    </row>
    <row r="49" spans="1:55" ht="16.5" customHeight="1" x14ac:dyDescent="0.25">
      <c r="A49" s="46" t="s">
        <v>106</v>
      </c>
      <c r="B49" s="379" t="s">
        <v>109</v>
      </c>
      <c r="C49" s="380"/>
      <c r="D49" s="381"/>
      <c r="E49" s="47" t="s">
        <v>109</v>
      </c>
      <c r="F49" s="32">
        <v>1</v>
      </c>
      <c r="G49" s="48">
        <v>8</v>
      </c>
      <c r="H49" s="49" t="s">
        <v>110</v>
      </c>
      <c r="I49" s="50" t="s">
        <v>42</v>
      </c>
      <c r="J49" s="51">
        <v>2500</v>
      </c>
      <c r="K49" s="48" t="s">
        <v>43</v>
      </c>
      <c r="L49" s="51">
        <f>J49*(1+$C$8)*(1+K49)</f>
        <v>3236.75</v>
      </c>
      <c r="M49" s="52">
        <v>1</v>
      </c>
      <c r="N49" s="48">
        <f t="shared" si="2"/>
        <v>3236.75</v>
      </c>
      <c r="O49" s="25">
        <f t="shared" si="3"/>
        <v>3236.75</v>
      </c>
      <c r="P49" s="48">
        <v>2024</v>
      </c>
      <c r="Q49" s="39"/>
      <c r="R49" s="40"/>
      <c r="S49" s="40"/>
      <c r="T49" s="53"/>
      <c r="U49" s="40"/>
      <c r="V49" s="40"/>
      <c r="W49" s="40"/>
      <c r="X49" s="40"/>
      <c r="Y49" s="40"/>
      <c r="Z49" s="40"/>
      <c r="AA49" s="40"/>
      <c r="AB49" s="53"/>
      <c r="AC49" s="40"/>
      <c r="AD49" s="40"/>
      <c r="AE49" s="40"/>
      <c r="AF49" s="40"/>
      <c r="AG49" s="40"/>
      <c r="AH49" s="40"/>
      <c r="AI49" s="40"/>
      <c r="AJ49" s="53"/>
      <c r="AK49" s="40"/>
      <c r="AL49" s="40"/>
      <c r="AM49" s="40"/>
      <c r="AN49" s="40"/>
      <c r="AO49" s="40"/>
      <c r="AP49" s="40"/>
      <c r="AQ49" s="40"/>
      <c r="AR49" s="53"/>
      <c r="AS49" s="40"/>
      <c r="AT49" s="40"/>
      <c r="AU49" s="40"/>
      <c r="AV49" s="54">
        <f>SUM(R49:AU49)/30</f>
        <v>0</v>
      </c>
      <c r="AW49" s="55"/>
      <c r="AX49" s="56">
        <f>SUM(R49:AU49)</f>
        <v>0</v>
      </c>
      <c r="AY49" s="382" t="str">
        <f>+B49</f>
        <v>LBK kanalen reinigen appartementen</v>
      </c>
      <c r="AZ49" s="383"/>
      <c r="BA49" s="2"/>
      <c r="BB49" s="2"/>
      <c r="BC49" s="2"/>
    </row>
    <row r="50" spans="1:55" ht="18.75" customHeight="1" x14ac:dyDescent="0.25">
      <c r="A50" s="46" t="s">
        <v>106</v>
      </c>
      <c r="B50" s="379" t="s">
        <v>111</v>
      </c>
      <c r="C50" s="380"/>
      <c r="D50" s="381"/>
      <c r="E50" s="47" t="s">
        <v>111</v>
      </c>
      <c r="F50" s="32">
        <v>2</v>
      </c>
      <c r="G50" s="48">
        <v>8</v>
      </c>
      <c r="H50" s="49" t="s">
        <v>110</v>
      </c>
      <c r="I50" s="50" t="s">
        <v>42</v>
      </c>
      <c r="J50" s="51">
        <v>4000</v>
      </c>
      <c r="K50" s="48" t="s">
        <v>43</v>
      </c>
      <c r="L50" s="51">
        <f>J50*(1+$C$8)*(1+K50)</f>
        <v>5178.8</v>
      </c>
      <c r="M50" s="52">
        <v>1</v>
      </c>
      <c r="N50" s="48">
        <f t="shared" si="2"/>
        <v>5178.8</v>
      </c>
      <c r="O50" s="25">
        <f t="shared" si="3"/>
        <v>5178.8</v>
      </c>
      <c r="P50" s="48">
        <v>2028</v>
      </c>
      <c r="Q50" s="39"/>
      <c r="R50" s="40"/>
      <c r="S50" s="40"/>
      <c r="T50" s="40"/>
      <c r="U50" s="40"/>
      <c r="V50" s="40"/>
      <c r="W50" s="40"/>
      <c r="X50" s="53"/>
      <c r="Y50" s="40"/>
      <c r="Z50" s="40"/>
      <c r="AA50" s="40"/>
      <c r="AB50" s="40"/>
      <c r="AC50" s="40"/>
      <c r="AD50" s="40"/>
      <c r="AE50" s="40"/>
      <c r="AF50" s="53"/>
      <c r="AG50" s="40"/>
      <c r="AH50" s="40"/>
      <c r="AI50" s="40"/>
      <c r="AJ50" s="40"/>
      <c r="AK50" s="40"/>
      <c r="AL50" s="40"/>
      <c r="AM50" s="40"/>
      <c r="AN50" s="53"/>
      <c r="AO50" s="40"/>
      <c r="AP50" s="40"/>
      <c r="AQ50" s="40"/>
      <c r="AR50" s="40"/>
      <c r="AS50" s="40"/>
      <c r="AT50" s="40"/>
      <c r="AU50" s="40"/>
      <c r="AV50" s="54">
        <f t="shared" ref="AV50:AV51" si="4">SUM(R50:AU50)/30</f>
        <v>0</v>
      </c>
      <c r="AW50" s="55"/>
      <c r="AX50" s="56">
        <f t="shared" ref="AX50:AX51" si="5">SUM(R50:AU50)</f>
        <v>0</v>
      </c>
      <c r="AY50" s="382" t="str">
        <f>+B50</f>
        <v>LBK kanalen reinigen appartementen + centrale kanalen</v>
      </c>
      <c r="AZ50" s="383"/>
      <c r="BA50" s="2"/>
      <c r="BB50" s="2"/>
      <c r="BC50" s="2"/>
    </row>
    <row r="51" spans="1:55" x14ac:dyDescent="0.25">
      <c r="A51" s="46" t="s">
        <v>106</v>
      </c>
      <c r="B51" s="384" t="s">
        <v>112</v>
      </c>
      <c r="C51" s="380"/>
      <c r="D51" s="381"/>
      <c r="E51" s="47" t="s">
        <v>112</v>
      </c>
      <c r="F51" s="32">
        <v>1</v>
      </c>
      <c r="G51" s="48"/>
      <c r="H51" s="57"/>
      <c r="I51" s="50"/>
      <c r="J51" s="51"/>
      <c r="K51" s="48" t="s">
        <v>43</v>
      </c>
      <c r="L51" s="51">
        <f>J51*(1+$C$8)*(1+K51)</f>
        <v>0</v>
      </c>
      <c r="M51" s="52">
        <v>1</v>
      </c>
      <c r="N51" s="48">
        <f t="shared" si="2"/>
        <v>0</v>
      </c>
      <c r="O51" s="25">
        <f t="shared" si="3"/>
        <v>0</v>
      </c>
      <c r="P51" s="48">
        <v>2031</v>
      </c>
      <c r="Q51" s="39"/>
      <c r="R51" s="40"/>
      <c r="S51" s="40"/>
      <c r="T51" s="40"/>
      <c r="U51" s="40"/>
      <c r="V51" s="40"/>
      <c r="W51" s="40"/>
      <c r="X51" s="40"/>
      <c r="Y51" s="40"/>
      <c r="Z51" s="40"/>
      <c r="AA51" s="53">
        <v>8500</v>
      </c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54">
        <f t="shared" si="4"/>
        <v>283.33333333333331</v>
      </c>
      <c r="AW51" s="55"/>
      <c r="AX51" s="56">
        <f t="shared" si="5"/>
        <v>8500</v>
      </c>
      <c r="AY51" s="382" t="str">
        <f>+B51</f>
        <v>LBK motoren tussentijds</v>
      </c>
      <c r="AZ51" s="383"/>
      <c r="BA51" s="2"/>
      <c r="BB51" s="2"/>
      <c r="BC51" s="2"/>
    </row>
    <row r="52" spans="1:55" x14ac:dyDescent="0.25">
      <c r="A52" s="45" t="s">
        <v>95</v>
      </c>
      <c r="B52" s="354" t="s">
        <v>113</v>
      </c>
      <c r="C52" s="348"/>
      <c r="D52" s="348"/>
      <c r="E52" s="8" t="s">
        <v>114</v>
      </c>
      <c r="F52" s="22">
        <v>0</v>
      </c>
      <c r="G52" s="9">
        <v>3</v>
      </c>
      <c r="H52" s="23">
        <v>1</v>
      </c>
      <c r="I52" s="24" t="s">
        <v>42</v>
      </c>
      <c r="J52" s="25">
        <v>150</v>
      </c>
      <c r="K52" s="9" t="s">
        <v>43</v>
      </c>
      <c r="L52" s="25">
        <v>194.20500000000001</v>
      </c>
      <c r="M52" s="26">
        <v>1</v>
      </c>
      <c r="N52" s="25">
        <f t="shared" si="2"/>
        <v>194.20499999999998</v>
      </c>
      <c r="O52" s="25">
        <f t="shared" si="3"/>
        <v>194.20499999999998</v>
      </c>
      <c r="P52" s="9">
        <v>2023</v>
      </c>
      <c r="Q52" s="10"/>
      <c r="R52" s="29"/>
      <c r="S52" s="29">
        <v>194</v>
      </c>
      <c r="T52" s="29"/>
      <c r="U52" s="29"/>
      <c r="V52" s="29">
        <v>194</v>
      </c>
      <c r="W52" s="29"/>
      <c r="X52" s="29"/>
      <c r="Y52" s="29">
        <v>194</v>
      </c>
      <c r="Z52" s="29"/>
      <c r="AA52" s="29"/>
      <c r="AB52" s="29">
        <v>194</v>
      </c>
      <c r="AC52" s="29"/>
      <c r="AD52" s="29"/>
      <c r="AE52" s="29">
        <v>194</v>
      </c>
      <c r="AF52" s="29"/>
      <c r="AG52" s="29"/>
      <c r="AH52" s="29">
        <v>194</v>
      </c>
      <c r="AI52" s="29"/>
      <c r="AJ52" s="29"/>
      <c r="AK52" s="29">
        <v>194</v>
      </c>
      <c r="AL52" s="29"/>
      <c r="AM52" s="29"/>
      <c r="AN52" s="29">
        <v>194</v>
      </c>
      <c r="AO52" s="29"/>
      <c r="AP52" s="29"/>
      <c r="AQ52" s="29">
        <v>194</v>
      </c>
      <c r="AR52" s="29"/>
      <c r="AS52" s="29"/>
      <c r="AT52" s="29">
        <v>194</v>
      </c>
      <c r="AU52" s="29"/>
      <c r="AV52" s="30">
        <v>65</v>
      </c>
      <c r="AW52" s="29">
        <v>65</v>
      </c>
      <c r="AX52" s="31">
        <v>1940</v>
      </c>
      <c r="AY52" s="354" t="s">
        <v>114</v>
      </c>
      <c r="AZ52" s="348"/>
      <c r="BA52" s="2"/>
      <c r="BB52" s="2"/>
      <c r="BC52" s="2"/>
    </row>
    <row r="53" spans="1:55" ht="15" customHeight="1" x14ac:dyDescent="0.25">
      <c r="A53" s="45" t="s">
        <v>95</v>
      </c>
      <c r="B53" s="385" t="s">
        <v>115</v>
      </c>
      <c r="C53" s="386"/>
      <c r="D53" s="386"/>
      <c r="E53" s="58" t="s">
        <v>116</v>
      </c>
      <c r="F53" s="22">
        <v>0</v>
      </c>
      <c r="G53" s="34">
        <v>5</v>
      </c>
      <c r="H53" s="35">
        <v>1</v>
      </c>
      <c r="I53" s="36" t="s">
        <v>42</v>
      </c>
      <c r="J53" s="37">
        <v>3850</v>
      </c>
      <c r="K53" s="34" t="s">
        <v>43</v>
      </c>
      <c r="L53" s="37">
        <v>4984.5950000000003</v>
      </c>
      <c r="M53" s="38">
        <v>1</v>
      </c>
      <c r="N53" s="25">
        <f t="shared" si="2"/>
        <v>4984.5950000000003</v>
      </c>
      <c r="O53" s="25">
        <f t="shared" si="3"/>
        <v>4984.5950000000003</v>
      </c>
      <c r="P53" s="59">
        <v>2022</v>
      </c>
      <c r="Q53" s="39"/>
      <c r="R53" s="53">
        <v>4985</v>
      </c>
      <c r="S53" s="40"/>
      <c r="T53" s="40"/>
      <c r="U53" s="40"/>
      <c r="V53" s="40"/>
      <c r="W53" s="53">
        <v>4985</v>
      </c>
      <c r="X53" s="40"/>
      <c r="Y53" s="40"/>
      <c r="Z53" s="40"/>
      <c r="AA53" s="40"/>
      <c r="AB53" s="53">
        <v>1532</v>
      </c>
      <c r="AC53" s="40"/>
      <c r="AD53" s="40"/>
      <c r="AE53" s="40"/>
      <c r="AF53" s="40"/>
      <c r="AG53" s="53">
        <v>4985</v>
      </c>
      <c r="AH53" s="40"/>
      <c r="AI53" s="40"/>
      <c r="AJ53" s="40"/>
      <c r="AK53" s="40"/>
      <c r="AL53" s="53">
        <v>1532</v>
      </c>
      <c r="AM53" s="40"/>
      <c r="AN53" s="40"/>
      <c r="AO53" s="40"/>
      <c r="AP53" s="40"/>
      <c r="AQ53" s="53">
        <v>4985</v>
      </c>
      <c r="AR53" s="40"/>
      <c r="AS53" s="40"/>
      <c r="AT53" s="40"/>
      <c r="AU53" s="40"/>
      <c r="AV53" s="41">
        <v>997</v>
      </c>
      <c r="AW53" s="40">
        <v>997</v>
      </c>
      <c r="AX53" s="42">
        <v>29910</v>
      </c>
      <c r="AY53" s="378" t="s">
        <v>116</v>
      </c>
      <c r="AZ53" s="348"/>
      <c r="BA53" s="2"/>
      <c r="BB53" s="2"/>
      <c r="BC53" s="2"/>
    </row>
    <row r="54" spans="1:55" ht="15" customHeight="1" x14ac:dyDescent="0.25">
      <c r="A54" s="45" t="s">
        <v>95</v>
      </c>
      <c r="B54" s="354" t="s">
        <v>113</v>
      </c>
      <c r="C54" s="348"/>
      <c r="D54" s="348"/>
      <c r="E54" s="8" t="s">
        <v>117</v>
      </c>
      <c r="F54" s="22">
        <v>0</v>
      </c>
      <c r="G54" s="9">
        <v>7</v>
      </c>
      <c r="H54" s="23">
        <v>1</v>
      </c>
      <c r="I54" s="24" t="s">
        <v>42</v>
      </c>
      <c r="J54" s="25">
        <v>800</v>
      </c>
      <c r="K54" s="9" t="s">
        <v>43</v>
      </c>
      <c r="L54" s="25">
        <v>1035.76</v>
      </c>
      <c r="M54" s="26">
        <v>1</v>
      </c>
      <c r="N54" s="25">
        <f t="shared" si="2"/>
        <v>1035.76</v>
      </c>
      <c r="O54" s="25">
        <f t="shared" si="3"/>
        <v>1035.76</v>
      </c>
      <c r="P54" s="9">
        <v>2024</v>
      </c>
      <c r="Q54" s="10"/>
      <c r="R54" s="29"/>
      <c r="S54" s="29"/>
      <c r="T54" s="29">
        <v>1036</v>
      </c>
      <c r="U54" s="29"/>
      <c r="V54" s="29"/>
      <c r="W54" s="29"/>
      <c r="X54" s="29"/>
      <c r="Y54" s="29"/>
      <c r="Z54" s="29"/>
      <c r="AA54" s="29">
        <v>1036</v>
      </c>
      <c r="AB54" s="29"/>
      <c r="AC54" s="29"/>
      <c r="AD54" s="29"/>
      <c r="AE54" s="29"/>
      <c r="AF54" s="29"/>
      <c r="AG54" s="29"/>
      <c r="AH54" s="29">
        <v>1036</v>
      </c>
      <c r="AI54" s="29"/>
      <c r="AJ54" s="29"/>
      <c r="AK54" s="29"/>
      <c r="AL54" s="29"/>
      <c r="AM54" s="29"/>
      <c r="AN54" s="29"/>
      <c r="AO54" s="29">
        <v>1036</v>
      </c>
      <c r="AP54" s="29"/>
      <c r="AQ54" s="29"/>
      <c r="AR54" s="29"/>
      <c r="AS54" s="29"/>
      <c r="AT54" s="29"/>
      <c r="AU54" s="29"/>
      <c r="AV54" s="30">
        <v>138</v>
      </c>
      <c r="AW54" s="29">
        <v>148</v>
      </c>
      <c r="AX54" s="31">
        <v>4144</v>
      </c>
      <c r="AY54" s="354" t="s">
        <v>117</v>
      </c>
      <c r="AZ54" s="348"/>
      <c r="BA54" s="2"/>
      <c r="BB54" s="2"/>
      <c r="BC54" s="2"/>
    </row>
    <row r="55" spans="1:55" ht="15" customHeight="1" x14ac:dyDescent="0.25">
      <c r="A55" s="45" t="s">
        <v>95</v>
      </c>
      <c r="B55" s="378" t="s">
        <v>113</v>
      </c>
      <c r="C55" s="377"/>
      <c r="D55" s="377"/>
      <c r="E55" s="33" t="s">
        <v>118</v>
      </c>
      <c r="F55" s="22">
        <v>0</v>
      </c>
      <c r="G55" s="34">
        <v>15</v>
      </c>
      <c r="H55" s="35">
        <v>1</v>
      </c>
      <c r="I55" s="36" t="s">
        <v>42</v>
      </c>
      <c r="J55" s="37">
        <v>1000</v>
      </c>
      <c r="K55" s="34" t="s">
        <v>43</v>
      </c>
      <c r="L55" s="37">
        <v>1294.7</v>
      </c>
      <c r="M55" s="38">
        <v>1</v>
      </c>
      <c r="N55" s="25">
        <f t="shared" si="2"/>
        <v>1294.7</v>
      </c>
      <c r="O55" s="25">
        <f t="shared" si="3"/>
        <v>1294.7</v>
      </c>
      <c r="P55" s="34">
        <v>2032</v>
      </c>
      <c r="Q55" s="39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>
        <v>1295</v>
      </c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>
        <v>1295</v>
      </c>
      <c r="AR55" s="40"/>
      <c r="AS55" s="40"/>
      <c r="AT55" s="40"/>
      <c r="AU55" s="40"/>
      <c r="AV55" s="41">
        <v>86</v>
      </c>
      <c r="AW55" s="40">
        <v>86</v>
      </c>
      <c r="AX55" s="42">
        <v>2590</v>
      </c>
      <c r="AY55" s="378" t="s">
        <v>118</v>
      </c>
      <c r="AZ55" s="348"/>
      <c r="BA55" s="2"/>
      <c r="BB55" s="2"/>
      <c r="BC55" s="2"/>
    </row>
    <row r="56" spans="1:55" ht="15" customHeight="1" x14ac:dyDescent="0.25">
      <c r="A56" s="45" t="s">
        <v>95</v>
      </c>
      <c r="B56" s="354" t="s">
        <v>113</v>
      </c>
      <c r="C56" s="348"/>
      <c r="D56" s="348"/>
      <c r="E56" s="8" t="s">
        <v>119</v>
      </c>
      <c r="F56" s="22">
        <v>0</v>
      </c>
      <c r="G56" s="9">
        <v>25</v>
      </c>
      <c r="H56" s="23">
        <v>1</v>
      </c>
      <c r="I56" s="24" t="s">
        <v>42</v>
      </c>
      <c r="J56" s="25">
        <v>6500</v>
      </c>
      <c r="K56" s="9" t="s">
        <v>43</v>
      </c>
      <c r="L56" s="25">
        <v>8415.5499999999993</v>
      </c>
      <c r="M56" s="26">
        <v>1</v>
      </c>
      <c r="N56" s="25">
        <f t="shared" si="2"/>
        <v>8415.5499999999993</v>
      </c>
      <c r="O56" s="25">
        <f t="shared" si="3"/>
        <v>8415.5499999999993</v>
      </c>
      <c r="P56" s="9">
        <v>2042</v>
      </c>
      <c r="Q56" s="10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>
        <v>8416</v>
      </c>
      <c r="AM56" s="29"/>
      <c r="AN56" s="29"/>
      <c r="AO56" s="29"/>
      <c r="AP56" s="29"/>
      <c r="AQ56" s="29"/>
      <c r="AR56" s="29"/>
      <c r="AS56" s="29"/>
      <c r="AT56" s="29"/>
      <c r="AU56" s="29"/>
      <c r="AV56" s="30">
        <v>281</v>
      </c>
      <c r="AW56" s="29">
        <v>337</v>
      </c>
      <c r="AX56" s="31">
        <v>8416</v>
      </c>
      <c r="AY56" s="354" t="s">
        <v>119</v>
      </c>
      <c r="AZ56" s="348"/>
      <c r="BA56" s="2"/>
      <c r="BB56" s="2"/>
      <c r="BC56" s="2"/>
    </row>
    <row r="57" spans="1:55" x14ac:dyDescent="0.25">
      <c r="A57" s="20" t="s">
        <v>40</v>
      </c>
      <c r="B57" s="378" t="s">
        <v>120</v>
      </c>
      <c r="C57" s="377"/>
      <c r="D57" s="377"/>
      <c r="E57" s="33" t="s">
        <v>121</v>
      </c>
      <c r="F57" s="22">
        <v>0</v>
      </c>
      <c r="G57" s="34">
        <v>25</v>
      </c>
      <c r="H57" s="35">
        <v>1</v>
      </c>
      <c r="I57" s="36" t="s">
        <v>42</v>
      </c>
      <c r="J57" s="37">
        <v>2000</v>
      </c>
      <c r="K57" s="34" t="s">
        <v>43</v>
      </c>
      <c r="L57" s="37">
        <v>2589.4</v>
      </c>
      <c r="M57" s="38">
        <v>1</v>
      </c>
      <c r="N57" s="25">
        <f t="shared" si="2"/>
        <v>2589.4</v>
      </c>
      <c r="O57" s="25">
        <f t="shared" si="3"/>
        <v>2589.4</v>
      </c>
      <c r="P57" s="34">
        <v>2042</v>
      </c>
      <c r="Q57" s="39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>
        <v>2589</v>
      </c>
      <c r="AM57" s="40"/>
      <c r="AN57" s="40"/>
      <c r="AO57" s="40"/>
      <c r="AP57" s="40"/>
      <c r="AQ57" s="40"/>
      <c r="AR57" s="40"/>
      <c r="AS57" s="40"/>
      <c r="AT57" s="40"/>
      <c r="AU57" s="40"/>
      <c r="AV57" s="41">
        <v>86</v>
      </c>
      <c r="AW57" s="40">
        <v>104</v>
      </c>
      <c r="AX57" s="42">
        <v>2589</v>
      </c>
      <c r="AY57" s="378" t="s">
        <v>121</v>
      </c>
      <c r="AZ57" s="348"/>
      <c r="BA57" s="2"/>
      <c r="BB57" s="2"/>
      <c r="BC57" s="2"/>
    </row>
    <row r="58" spans="1:55" x14ac:dyDescent="0.25">
      <c r="A58" s="20" t="s">
        <v>40</v>
      </c>
      <c r="B58" s="354" t="s">
        <v>122</v>
      </c>
      <c r="C58" s="348"/>
      <c r="D58" s="348"/>
      <c r="E58" s="8" t="s">
        <v>123</v>
      </c>
      <c r="F58" s="32">
        <v>1</v>
      </c>
      <c r="G58" s="9">
        <v>40</v>
      </c>
      <c r="H58" s="23">
        <v>88</v>
      </c>
      <c r="I58" s="24" t="s">
        <v>71</v>
      </c>
      <c r="J58" s="25">
        <v>330.88</v>
      </c>
      <c r="K58" s="9" t="s">
        <v>43</v>
      </c>
      <c r="L58" s="25">
        <v>428.39032500000002</v>
      </c>
      <c r="M58" s="26">
        <v>1</v>
      </c>
      <c r="N58" s="25">
        <f t="shared" si="2"/>
        <v>37698.349567999998</v>
      </c>
      <c r="O58" s="25">
        <f t="shared" si="3"/>
        <v>37698.349567999998</v>
      </c>
      <c r="P58" s="9">
        <v>2057</v>
      </c>
      <c r="Q58" s="10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30">
        <v>0</v>
      </c>
      <c r="AW58" s="29">
        <v>942</v>
      </c>
      <c r="AX58" s="31">
        <v>0</v>
      </c>
      <c r="AY58" s="354" t="s">
        <v>123</v>
      </c>
      <c r="AZ58" s="348"/>
      <c r="BA58" s="2"/>
      <c r="BB58" s="2"/>
      <c r="BC58" s="2"/>
    </row>
    <row r="59" spans="1:55" x14ac:dyDescent="0.25">
      <c r="A59" s="20" t="s">
        <v>40</v>
      </c>
      <c r="B59" s="378" t="s">
        <v>124</v>
      </c>
      <c r="C59" s="377"/>
      <c r="D59" s="377"/>
      <c r="E59" s="33" t="s">
        <v>125</v>
      </c>
      <c r="F59" s="32">
        <v>1</v>
      </c>
      <c r="G59" s="34">
        <v>15</v>
      </c>
      <c r="H59" s="35">
        <v>1</v>
      </c>
      <c r="I59" s="36" t="s">
        <v>71</v>
      </c>
      <c r="J59" s="37">
        <v>1741.03</v>
      </c>
      <c r="K59" s="34" t="s">
        <v>43</v>
      </c>
      <c r="L59" s="37">
        <v>2254.1089999999999</v>
      </c>
      <c r="M59" s="38">
        <v>1</v>
      </c>
      <c r="N59" s="25">
        <f t="shared" si="2"/>
        <v>2254.1115409999998</v>
      </c>
      <c r="O59" s="25">
        <f t="shared" si="3"/>
        <v>2254.1115409999998</v>
      </c>
      <c r="P59" s="34">
        <v>2032</v>
      </c>
      <c r="Q59" s="39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>
        <v>2254</v>
      </c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>
        <v>2254</v>
      </c>
      <c r="AR59" s="40"/>
      <c r="AS59" s="40"/>
      <c r="AT59" s="40"/>
      <c r="AU59" s="40"/>
      <c r="AV59" s="41">
        <v>150</v>
      </c>
      <c r="AW59" s="40">
        <v>150</v>
      </c>
      <c r="AX59" s="42">
        <v>4508</v>
      </c>
      <c r="AY59" s="378" t="s">
        <v>125</v>
      </c>
      <c r="AZ59" s="348"/>
      <c r="BA59" s="2"/>
      <c r="BB59" s="2"/>
      <c r="BC59" s="2"/>
    </row>
    <row r="60" spans="1:55" x14ac:dyDescent="0.25">
      <c r="A60" s="20" t="s">
        <v>40</v>
      </c>
      <c r="B60" s="354" t="s">
        <v>126</v>
      </c>
      <c r="C60" s="348"/>
      <c r="D60" s="348"/>
      <c r="E60" s="8" t="s">
        <v>127</v>
      </c>
      <c r="F60" s="32">
        <v>1</v>
      </c>
      <c r="G60" s="9">
        <v>25</v>
      </c>
      <c r="H60" s="23">
        <v>45</v>
      </c>
      <c r="I60" s="24" t="s">
        <v>71</v>
      </c>
      <c r="J60" s="25">
        <v>100</v>
      </c>
      <c r="K60" s="9" t="s">
        <v>43</v>
      </c>
      <c r="L60" s="25">
        <v>129.47</v>
      </c>
      <c r="M60" s="26">
        <v>1</v>
      </c>
      <c r="N60" s="25">
        <f t="shared" si="2"/>
        <v>5826.15</v>
      </c>
      <c r="O60" s="25">
        <f t="shared" si="3"/>
        <v>5826.15</v>
      </c>
      <c r="P60" s="9">
        <v>2042</v>
      </c>
      <c r="Q60" s="1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>
        <v>5826</v>
      </c>
      <c r="AM60" s="29"/>
      <c r="AN60" s="29"/>
      <c r="AO60" s="29"/>
      <c r="AP60" s="29"/>
      <c r="AQ60" s="29"/>
      <c r="AR60" s="29"/>
      <c r="AS60" s="29"/>
      <c r="AT60" s="29"/>
      <c r="AU60" s="29"/>
      <c r="AV60" s="30">
        <v>194</v>
      </c>
      <c r="AW60" s="29">
        <v>233</v>
      </c>
      <c r="AX60" s="31">
        <v>5826</v>
      </c>
      <c r="AY60" s="354" t="s">
        <v>127</v>
      </c>
      <c r="AZ60" s="348"/>
      <c r="BA60" s="2"/>
      <c r="BB60" s="2"/>
      <c r="BC60" s="2"/>
    </row>
    <row r="61" spans="1:55" x14ac:dyDescent="0.25">
      <c r="A61" s="43" t="s">
        <v>74</v>
      </c>
      <c r="B61" s="378" t="s">
        <v>126</v>
      </c>
      <c r="C61" s="377"/>
      <c r="D61" s="377"/>
      <c r="E61" s="33" t="s">
        <v>128</v>
      </c>
      <c r="F61" s="32">
        <v>1</v>
      </c>
      <c r="G61" s="34">
        <v>25</v>
      </c>
      <c r="H61" s="35">
        <v>180</v>
      </c>
      <c r="I61" s="36" t="s">
        <v>71</v>
      </c>
      <c r="J61" s="37">
        <v>90</v>
      </c>
      <c r="K61" s="34" t="s">
        <v>43</v>
      </c>
      <c r="L61" s="37">
        <v>116.523</v>
      </c>
      <c r="M61" s="38">
        <v>1</v>
      </c>
      <c r="N61" s="25">
        <f t="shared" si="2"/>
        <v>20974.14</v>
      </c>
      <c r="O61" s="25">
        <f t="shared" si="3"/>
        <v>20974.14</v>
      </c>
      <c r="P61" s="34">
        <v>2042</v>
      </c>
      <c r="Q61" s="39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>
        <v>20974</v>
      </c>
      <c r="AM61" s="40"/>
      <c r="AN61" s="40"/>
      <c r="AO61" s="40"/>
      <c r="AP61" s="40"/>
      <c r="AQ61" s="40"/>
      <c r="AR61" s="40"/>
      <c r="AS61" s="40"/>
      <c r="AT61" s="40"/>
      <c r="AU61" s="40"/>
      <c r="AV61" s="41">
        <v>699</v>
      </c>
      <c r="AW61" s="40">
        <v>839</v>
      </c>
      <c r="AX61" s="42">
        <v>20974</v>
      </c>
      <c r="AY61" s="378" t="s">
        <v>128</v>
      </c>
      <c r="AZ61" s="348"/>
      <c r="BA61" s="2"/>
      <c r="BB61" s="2"/>
      <c r="BC61" s="2"/>
    </row>
    <row r="62" spans="1:55" x14ac:dyDescent="0.25">
      <c r="A62" s="43" t="s">
        <v>74</v>
      </c>
      <c r="B62" s="354" t="s">
        <v>129</v>
      </c>
      <c r="C62" s="348"/>
      <c r="D62" s="348"/>
      <c r="E62" s="8" t="s">
        <v>130</v>
      </c>
      <c r="F62" s="32">
        <v>1</v>
      </c>
      <c r="G62" s="9">
        <v>25</v>
      </c>
      <c r="H62" s="23">
        <v>26</v>
      </c>
      <c r="I62" s="24" t="s">
        <v>71</v>
      </c>
      <c r="J62" s="25">
        <v>370.76</v>
      </c>
      <c r="K62" s="9" t="s">
        <v>43</v>
      </c>
      <c r="L62" s="25">
        <v>480.02282307692002</v>
      </c>
      <c r="M62" s="26">
        <v>1</v>
      </c>
      <c r="N62" s="25">
        <f t="shared" si="2"/>
        <v>12480.597271999999</v>
      </c>
      <c r="O62" s="25">
        <f t="shared" si="3"/>
        <v>12480.597271999999</v>
      </c>
      <c r="P62" s="9">
        <v>2042</v>
      </c>
      <c r="Q62" s="10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>
        <v>12481</v>
      </c>
      <c r="AM62" s="29"/>
      <c r="AN62" s="29"/>
      <c r="AO62" s="29"/>
      <c r="AP62" s="29"/>
      <c r="AQ62" s="29"/>
      <c r="AR62" s="29"/>
      <c r="AS62" s="29"/>
      <c r="AT62" s="29"/>
      <c r="AU62" s="29"/>
      <c r="AV62" s="30">
        <v>416</v>
      </c>
      <c r="AW62" s="29">
        <v>499</v>
      </c>
      <c r="AX62" s="31">
        <v>12481</v>
      </c>
      <c r="AY62" s="354" t="s">
        <v>130</v>
      </c>
      <c r="AZ62" s="348"/>
      <c r="BA62" s="2"/>
      <c r="BB62" s="2"/>
      <c r="BC62" s="2"/>
    </row>
    <row r="63" spans="1:55" x14ac:dyDescent="0.25">
      <c r="A63" s="43" t="s">
        <v>74</v>
      </c>
      <c r="B63" s="387" t="s">
        <v>131</v>
      </c>
      <c r="C63" s="388"/>
      <c r="D63" s="388"/>
      <c r="E63" s="60" t="s">
        <v>132</v>
      </c>
      <c r="F63" s="22">
        <v>0</v>
      </c>
      <c r="G63" s="34">
        <v>4</v>
      </c>
      <c r="H63" s="61">
        <v>26</v>
      </c>
      <c r="I63" s="36" t="s">
        <v>71</v>
      </c>
      <c r="J63" s="37">
        <v>77.05</v>
      </c>
      <c r="K63" s="34" t="s">
        <v>43</v>
      </c>
      <c r="L63" s="37">
        <v>99.756588461538001</v>
      </c>
      <c r="M63" s="38">
        <v>1</v>
      </c>
      <c r="N63" s="25">
        <f t="shared" si="2"/>
        <v>2593.6725099999999</v>
      </c>
      <c r="O63" s="25">
        <f t="shared" si="3"/>
        <v>2593.6725099999999</v>
      </c>
      <c r="P63" s="59">
        <v>2022</v>
      </c>
      <c r="Q63" s="39"/>
      <c r="R63" s="53">
        <v>2594</v>
      </c>
      <c r="S63" s="40"/>
      <c r="T63" s="53">
        <v>3292</v>
      </c>
      <c r="U63" s="40"/>
      <c r="V63" s="40"/>
      <c r="W63" s="40"/>
      <c r="X63" s="53">
        <v>3292</v>
      </c>
      <c r="Y63" s="40"/>
      <c r="Z63" s="40"/>
      <c r="AA63" s="40"/>
      <c r="AB63" s="53">
        <v>3292</v>
      </c>
      <c r="AC63" s="40"/>
      <c r="AD63" s="40"/>
      <c r="AE63" s="40"/>
      <c r="AF63" s="53">
        <v>3292</v>
      </c>
      <c r="AG63" s="40"/>
      <c r="AH63" s="40"/>
      <c r="AI63" s="40"/>
      <c r="AJ63" s="53">
        <v>3292</v>
      </c>
      <c r="AK63" s="40"/>
      <c r="AL63" s="40"/>
      <c r="AM63" s="40"/>
      <c r="AN63" s="53">
        <v>3292</v>
      </c>
      <c r="AO63" s="40"/>
      <c r="AP63" s="40"/>
      <c r="AQ63" s="40"/>
      <c r="AR63" s="53">
        <v>3292</v>
      </c>
      <c r="AS63" s="40"/>
      <c r="AT63" s="40"/>
      <c r="AU63" s="40"/>
      <c r="AV63" s="41">
        <v>692</v>
      </c>
      <c r="AW63" s="40">
        <v>648</v>
      </c>
      <c r="AX63" s="42">
        <v>20752</v>
      </c>
      <c r="AY63" s="378" t="s">
        <v>132</v>
      </c>
      <c r="AZ63" s="348"/>
      <c r="BA63" s="2"/>
      <c r="BB63" s="2"/>
      <c r="BC63" s="2"/>
    </row>
    <row r="64" spans="1:55" ht="15" customHeight="1" x14ac:dyDescent="0.25">
      <c r="A64" s="20" t="s">
        <v>40</v>
      </c>
      <c r="B64" s="354" t="s">
        <v>133</v>
      </c>
      <c r="C64" s="348"/>
      <c r="D64" s="348"/>
      <c r="E64" s="8" t="s">
        <v>134</v>
      </c>
      <c r="F64" s="22">
        <v>0</v>
      </c>
      <c r="G64" s="9">
        <v>5</v>
      </c>
      <c r="H64" s="23">
        <v>1</v>
      </c>
      <c r="I64" s="24" t="s">
        <v>42</v>
      </c>
      <c r="J64" s="25">
        <v>290</v>
      </c>
      <c r="K64" s="9" t="s">
        <v>43</v>
      </c>
      <c r="L64" s="25">
        <v>375.46300000000002</v>
      </c>
      <c r="M64" s="26">
        <v>1</v>
      </c>
      <c r="N64" s="25">
        <f t="shared" si="2"/>
        <v>375.46300000000002</v>
      </c>
      <c r="O64" s="25">
        <f t="shared" si="3"/>
        <v>375.46300000000002</v>
      </c>
      <c r="P64" s="9">
        <v>2023</v>
      </c>
      <c r="Q64" s="10"/>
      <c r="R64" s="29"/>
      <c r="S64" s="29">
        <v>375</v>
      </c>
      <c r="T64" s="29"/>
      <c r="U64" s="29"/>
      <c r="V64" s="29"/>
      <c r="W64" s="29"/>
      <c r="X64" s="29">
        <v>375</v>
      </c>
      <c r="Y64" s="29"/>
      <c r="Z64" s="29"/>
      <c r="AA64" s="29"/>
      <c r="AB64" s="29"/>
      <c r="AC64" s="29">
        <v>375</v>
      </c>
      <c r="AD64" s="29"/>
      <c r="AE64" s="29"/>
      <c r="AF64" s="29"/>
      <c r="AG64" s="29"/>
      <c r="AH64" s="29">
        <v>375</v>
      </c>
      <c r="AI64" s="29"/>
      <c r="AJ64" s="29"/>
      <c r="AK64" s="29"/>
      <c r="AL64" s="29"/>
      <c r="AM64" s="29">
        <v>375</v>
      </c>
      <c r="AN64" s="29"/>
      <c r="AO64" s="29"/>
      <c r="AP64" s="29"/>
      <c r="AQ64" s="29"/>
      <c r="AR64" s="29">
        <v>375</v>
      </c>
      <c r="AS64" s="29"/>
      <c r="AT64" s="29"/>
      <c r="AU64" s="29"/>
      <c r="AV64" s="30">
        <v>75</v>
      </c>
      <c r="AW64" s="29">
        <v>75</v>
      </c>
      <c r="AX64" s="31">
        <v>2250</v>
      </c>
      <c r="AY64" s="354" t="s">
        <v>134</v>
      </c>
      <c r="AZ64" s="348"/>
      <c r="BA64" s="2"/>
      <c r="BB64" s="2"/>
      <c r="BC64" s="2"/>
    </row>
    <row r="65" spans="1:55" x14ac:dyDescent="0.25">
      <c r="A65" s="43" t="s">
        <v>74</v>
      </c>
      <c r="B65" s="378" t="s">
        <v>135</v>
      </c>
      <c r="C65" s="377"/>
      <c r="D65" s="377"/>
      <c r="E65" s="33" t="s">
        <v>136</v>
      </c>
      <c r="F65" s="32">
        <v>1</v>
      </c>
      <c r="G65" s="34">
        <v>15</v>
      </c>
      <c r="H65" s="35">
        <v>1</v>
      </c>
      <c r="I65" s="36" t="s">
        <v>42</v>
      </c>
      <c r="J65" s="37">
        <v>2500</v>
      </c>
      <c r="K65" s="34" t="s">
        <v>43</v>
      </c>
      <c r="L65" s="37">
        <v>3236.75</v>
      </c>
      <c r="M65" s="38">
        <v>1</v>
      </c>
      <c r="N65" s="25">
        <f t="shared" si="2"/>
        <v>3236.75</v>
      </c>
      <c r="O65" s="25">
        <f t="shared" si="3"/>
        <v>3236.75</v>
      </c>
      <c r="P65" s="34">
        <v>2031</v>
      </c>
      <c r="Q65" s="39"/>
      <c r="R65" s="40"/>
      <c r="S65" s="40"/>
      <c r="T65" s="40"/>
      <c r="U65" s="40"/>
      <c r="V65" s="40"/>
      <c r="W65" s="40"/>
      <c r="X65" s="40"/>
      <c r="Y65" s="40"/>
      <c r="Z65" s="40"/>
      <c r="AA65" s="40">
        <v>3237</v>
      </c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>
        <v>3237</v>
      </c>
      <c r="AQ65" s="40"/>
      <c r="AR65" s="40"/>
      <c r="AS65" s="40"/>
      <c r="AT65" s="40"/>
      <c r="AU65" s="40"/>
      <c r="AV65" s="41">
        <v>216</v>
      </c>
      <c r="AW65" s="40">
        <v>216</v>
      </c>
      <c r="AX65" s="42">
        <v>6474</v>
      </c>
      <c r="AY65" s="378" t="s">
        <v>136</v>
      </c>
      <c r="AZ65" s="348"/>
      <c r="BA65" s="2"/>
      <c r="BB65" s="2"/>
      <c r="BC65" s="2"/>
    </row>
    <row r="66" spans="1:55" x14ac:dyDescent="0.25">
      <c r="A66" s="43" t="s">
        <v>74</v>
      </c>
      <c r="B66" s="354" t="s">
        <v>137</v>
      </c>
      <c r="C66" s="348"/>
      <c r="D66" s="348"/>
      <c r="E66" s="8" t="s">
        <v>138</v>
      </c>
      <c r="F66" s="32">
        <v>1</v>
      </c>
      <c r="G66" s="9">
        <v>15</v>
      </c>
      <c r="H66" s="23">
        <v>32</v>
      </c>
      <c r="I66" s="24" t="s">
        <v>71</v>
      </c>
      <c r="J66" s="25">
        <v>321.08</v>
      </c>
      <c r="K66" s="9" t="s">
        <v>43</v>
      </c>
      <c r="L66" s="25">
        <v>415.70230624999999</v>
      </c>
      <c r="M66" s="26">
        <v>1</v>
      </c>
      <c r="N66" s="25">
        <f t="shared" si="2"/>
        <v>13302.472832000001</v>
      </c>
      <c r="O66" s="25">
        <f t="shared" si="3"/>
        <v>13302.472832000001</v>
      </c>
      <c r="P66" s="9">
        <v>2031</v>
      </c>
      <c r="Q66" s="10"/>
      <c r="R66" s="29"/>
      <c r="S66" s="29"/>
      <c r="T66" s="29"/>
      <c r="U66" s="29"/>
      <c r="V66" s="29"/>
      <c r="W66" s="29"/>
      <c r="X66" s="29"/>
      <c r="Y66" s="29"/>
      <c r="Z66" s="29"/>
      <c r="AA66" s="29">
        <v>13302</v>
      </c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>
        <v>13302</v>
      </c>
      <c r="AQ66" s="29"/>
      <c r="AR66" s="29"/>
      <c r="AS66" s="29"/>
      <c r="AT66" s="29"/>
      <c r="AU66" s="29"/>
      <c r="AV66" s="30">
        <v>887</v>
      </c>
      <c r="AW66" s="29">
        <v>887</v>
      </c>
      <c r="AX66" s="31">
        <v>26604</v>
      </c>
      <c r="AY66" s="354" t="s">
        <v>138</v>
      </c>
      <c r="AZ66" s="348"/>
      <c r="BA66" s="2"/>
      <c r="BB66" s="2"/>
      <c r="BC66" s="2"/>
    </row>
    <row r="67" spans="1:55" ht="15" customHeight="1" x14ac:dyDescent="0.25">
      <c r="A67" s="45" t="s">
        <v>95</v>
      </c>
      <c r="B67" s="389" t="s">
        <v>139</v>
      </c>
      <c r="C67" s="377"/>
      <c r="D67" s="377"/>
      <c r="E67" s="33" t="s">
        <v>140</v>
      </c>
      <c r="F67" s="22">
        <v>0</v>
      </c>
      <c r="G67" s="34">
        <v>2</v>
      </c>
      <c r="H67" s="35">
        <v>1</v>
      </c>
      <c r="I67" s="36" t="s">
        <v>42</v>
      </c>
      <c r="J67" s="37">
        <v>113.08</v>
      </c>
      <c r="K67" s="34" t="s">
        <v>43</v>
      </c>
      <c r="L67" s="37">
        <v>146.41</v>
      </c>
      <c r="M67" s="38">
        <v>1</v>
      </c>
      <c r="N67" s="25">
        <f t="shared" si="2"/>
        <v>146.40467599999999</v>
      </c>
      <c r="O67" s="25">
        <f t="shared" si="3"/>
        <v>146.40467599999999</v>
      </c>
      <c r="P67" s="34">
        <v>2022</v>
      </c>
      <c r="Q67" s="39"/>
      <c r="R67" s="40">
        <v>146</v>
      </c>
      <c r="S67" s="40"/>
      <c r="T67" s="40">
        <v>146</v>
      </c>
      <c r="U67" s="40"/>
      <c r="V67" s="40">
        <v>146</v>
      </c>
      <c r="W67" s="40"/>
      <c r="X67" s="40">
        <v>146</v>
      </c>
      <c r="Y67" s="40"/>
      <c r="Z67" s="40">
        <v>146</v>
      </c>
      <c r="AA67" s="40"/>
      <c r="AB67" s="40">
        <v>146</v>
      </c>
      <c r="AC67" s="40"/>
      <c r="AD67" s="40">
        <v>146</v>
      </c>
      <c r="AE67" s="40"/>
      <c r="AF67" s="40">
        <v>146</v>
      </c>
      <c r="AG67" s="40"/>
      <c r="AH67" s="40">
        <v>146</v>
      </c>
      <c r="AI67" s="40"/>
      <c r="AJ67" s="40">
        <v>146</v>
      </c>
      <c r="AK67" s="40"/>
      <c r="AL67" s="40">
        <v>146</v>
      </c>
      <c r="AM67" s="40"/>
      <c r="AN67" s="40">
        <v>146</v>
      </c>
      <c r="AO67" s="40"/>
      <c r="AP67" s="40">
        <v>146</v>
      </c>
      <c r="AQ67" s="40"/>
      <c r="AR67" s="40">
        <v>146</v>
      </c>
      <c r="AS67" s="40"/>
      <c r="AT67" s="40">
        <v>146</v>
      </c>
      <c r="AU67" s="40"/>
      <c r="AV67" s="41">
        <v>73</v>
      </c>
      <c r="AW67" s="40">
        <v>73</v>
      </c>
      <c r="AX67" s="42">
        <v>2190</v>
      </c>
      <c r="AY67" s="378" t="s">
        <v>140</v>
      </c>
      <c r="AZ67" s="348"/>
      <c r="BA67" s="2"/>
      <c r="BB67" s="2"/>
      <c r="BC67" s="2"/>
    </row>
    <row r="68" spans="1:55" ht="15" customHeight="1" x14ac:dyDescent="0.25">
      <c r="A68" s="45" t="s">
        <v>95</v>
      </c>
      <c r="B68" s="389" t="s">
        <v>139</v>
      </c>
      <c r="C68" s="377"/>
      <c r="D68" s="377"/>
      <c r="E68" s="33" t="s">
        <v>141</v>
      </c>
      <c r="F68" s="22">
        <v>0</v>
      </c>
      <c r="G68" s="9">
        <v>4</v>
      </c>
      <c r="H68" s="23">
        <v>1</v>
      </c>
      <c r="I68" s="24" t="s">
        <v>42</v>
      </c>
      <c r="J68" s="25">
        <v>613.12</v>
      </c>
      <c r="K68" s="9" t="s">
        <v>43</v>
      </c>
      <c r="L68" s="25">
        <v>793.80840000000001</v>
      </c>
      <c r="M68" s="26">
        <v>1</v>
      </c>
      <c r="N68" s="25">
        <f t="shared" si="2"/>
        <v>793.80646400000001</v>
      </c>
      <c r="O68" s="25">
        <f t="shared" si="3"/>
        <v>793.80646400000001</v>
      </c>
      <c r="P68" s="9">
        <v>2022</v>
      </c>
      <c r="Q68" s="10"/>
      <c r="R68" s="29">
        <v>794</v>
      </c>
      <c r="S68" s="29"/>
      <c r="T68" s="29"/>
      <c r="U68" s="29"/>
      <c r="V68" s="29">
        <v>794</v>
      </c>
      <c r="W68" s="29"/>
      <c r="X68" s="29"/>
      <c r="Y68" s="29"/>
      <c r="Z68" s="29">
        <v>794</v>
      </c>
      <c r="AA68" s="29"/>
      <c r="AB68" s="29"/>
      <c r="AC68" s="29"/>
      <c r="AD68" s="29">
        <v>794</v>
      </c>
      <c r="AE68" s="29"/>
      <c r="AF68" s="29"/>
      <c r="AG68" s="29"/>
      <c r="AH68" s="29">
        <v>794</v>
      </c>
      <c r="AI68" s="29"/>
      <c r="AJ68" s="29"/>
      <c r="AK68" s="29"/>
      <c r="AL68" s="29">
        <v>794</v>
      </c>
      <c r="AM68" s="29"/>
      <c r="AN68" s="29"/>
      <c r="AO68" s="29"/>
      <c r="AP68" s="29">
        <v>794</v>
      </c>
      <c r="AQ68" s="29"/>
      <c r="AR68" s="29"/>
      <c r="AS68" s="29"/>
      <c r="AT68" s="29">
        <v>794</v>
      </c>
      <c r="AU68" s="29"/>
      <c r="AV68" s="30">
        <v>212</v>
      </c>
      <c r="AW68" s="29">
        <v>198</v>
      </c>
      <c r="AX68" s="31">
        <v>6352</v>
      </c>
      <c r="AY68" s="354" t="s">
        <v>141</v>
      </c>
      <c r="AZ68" s="348"/>
      <c r="BA68" s="2"/>
      <c r="BB68" s="2"/>
      <c r="BC68" s="2"/>
    </row>
    <row r="69" spans="1:55" ht="15" customHeight="1" x14ac:dyDescent="0.25">
      <c r="A69" s="45" t="s">
        <v>95</v>
      </c>
      <c r="B69" s="389" t="s">
        <v>139</v>
      </c>
      <c r="C69" s="377"/>
      <c r="D69" s="377"/>
      <c r="E69" s="33" t="s">
        <v>142</v>
      </c>
      <c r="F69" s="22">
        <v>0</v>
      </c>
      <c r="G69" s="34">
        <v>6</v>
      </c>
      <c r="H69" s="35">
        <v>1</v>
      </c>
      <c r="I69" s="36" t="s">
        <v>42</v>
      </c>
      <c r="J69" s="37">
        <v>997.6</v>
      </c>
      <c r="K69" s="34" t="s">
        <v>43</v>
      </c>
      <c r="L69" s="37">
        <v>1291.5903000000001</v>
      </c>
      <c r="M69" s="38">
        <v>1</v>
      </c>
      <c r="N69" s="25">
        <f t="shared" si="2"/>
        <v>1291.5927199999999</v>
      </c>
      <c r="O69" s="25">
        <f t="shared" si="3"/>
        <v>1291.5927199999999</v>
      </c>
      <c r="P69" s="34">
        <v>2024</v>
      </c>
      <c r="Q69" s="39"/>
      <c r="R69" s="40"/>
      <c r="S69" s="40"/>
      <c r="T69" s="40">
        <v>1292</v>
      </c>
      <c r="U69" s="40"/>
      <c r="V69" s="40"/>
      <c r="W69" s="40"/>
      <c r="X69" s="40"/>
      <c r="Y69" s="40"/>
      <c r="Z69" s="40">
        <v>1292</v>
      </c>
      <c r="AA69" s="40"/>
      <c r="AB69" s="40"/>
      <c r="AC69" s="40"/>
      <c r="AD69" s="40"/>
      <c r="AE69" s="40"/>
      <c r="AF69" s="40">
        <v>1292</v>
      </c>
      <c r="AG69" s="40"/>
      <c r="AH69" s="40"/>
      <c r="AI69" s="40"/>
      <c r="AJ69" s="40"/>
      <c r="AK69" s="40"/>
      <c r="AL69" s="40">
        <v>1292</v>
      </c>
      <c r="AM69" s="40"/>
      <c r="AN69" s="40"/>
      <c r="AO69" s="40"/>
      <c r="AP69" s="40"/>
      <c r="AQ69" s="40"/>
      <c r="AR69" s="40">
        <v>1292</v>
      </c>
      <c r="AS69" s="40"/>
      <c r="AT69" s="40"/>
      <c r="AU69" s="40"/>
      <c r="AV69" s="41">
        <v>215</v>
      </c>
      <c r="AW69" s="40">
        <v>215</v>
      </c>
      <c r="AX69" s="42">
        <v>6460</v>
      </c>
      <c r="AY69" s="378" t="s">
        <v>142</v>
      </c>
      <c r="AZ69" s="348"/>
      <c r="BA69" s="2"/>
      <c r="BB69" s="2"/>
      <c r="BC69" s="2"/>
    </row>
    <row r="70" spans="1:55" ht="15" customHeight="1" x14ac:dyDescent="0.25">
      <c r="A70" s="45" t="s">
        <v>95</v>
      </c>
      <c r="B70" s="389" t="s">
        <v>139</v>
      </c>
      <c r="C70" s="377"/>
      <c r="D70" s="377"/>
      <c r="E70" s="33" t="s">
        <v>143</v>
      </c>
      <c r="F70" s="22">
        <v>0</v>
      </c>
      <c r="G70" s="9">
        <v>10</v>
      </c>
      <c r="H70" s="23">
        <v>1</v>
      </c>
      <c r="I70" s="24" t="s">
        <v>42</v>
      </c>
      <c r="J70" s="25">
        <v>1384.07</v>
      </c>
      <c r="K70" s="9" t="s">
        <v>43</v>
      </c>
      <c r="L70" s="25">
        <v>1791.9494999999999</v>
      </c>
      <c r="M70" s="26">
        <v>1</v>
      </c>
      <c r="N70" s="25">
        <f t="shared" si="2"/>
        <v>1791.9554289999999</v>
      </c>
      <c r="O70" s="25">
        <f t="shared" si="3"/>
        <v>1791.9554289999999</v>
      </c>
      <c r="P70" s="9">
        <v>2027</v>
      </c>
      <c r="Q70" s="10"/>
      <c r="R70" s="29"/>
      <c r="S70" s="29"/>
      <c r="T70" s="29"/>
      <c r="U70" s="29"/>
      <c r="V70" s="29"/>
      <c r="W70" s="29">
        <v>1792</v>
      </c>
      <c r="X70" s="29"/>
      <c r="Y70" s="29"/>
      <c r="Z70" s="29"/>
      <c r="AA70" s="29"/>
      <c r="AB70" s="29"/>
      <c r="AC70" s="29"/>
      <c r="AD70" s="29"/>
      <c r="AE70" s="29"/>
      <c r="AF70" s="29"/>
      <c r="AG70" s="29">
        <v>1792</v>
      </c>
      <c r="AH70" s="29"/>
      <c r="AI70" s="29"/>
      <c r="AJ70" s="29"/>
      <c r="AK70" s="29"/>
      <c r="AL70" s="29"/>
      <c r="AM70" s="29"/>
      <c r="AN70" s="29"/>
      <c r="AO70" s="29"/>
      <c r="AP70" s="29"/>
      <c r="AQ70" s="29">
        <v>1792</v>
      </c>
      <c r="AR70" s="29"/>
      <c r="AS70" s="29"/>
      <c r="AT70" s="29"/>
      <c r="AU70" s="29"/>
      <c r="AV70" s="30">
        <v>179</v>
      </c>
      <c r="AW70" s="29">
        <v>179</v>
      </c>
      <c r="AX70" s="31">
        <v>5376</v>
      </c>
      <c r="AY70" s="354" t="s">
        <v>143</v>
      </c>
      <c r="AZ70" s="348"/>
      <c r="BA70" s="2"/>
      <c r="BB70" s="2"/>
      <c r="BC70" s="2"/>
    </row>
    <row r="71" spans="1:55" ht="15" customHeight="1" x14ac:dyDescent="0.25">
      <c r="A71" s="45" t="s">
        <v>95</v>
      </c>
      <c r="B71" s="389" t="s">
        <v>139</v>
      </c>
      <c r="C71" s="377"/>
      <c r="D71" s="377"/>
      <c r="E71" s="33" t="s">
        <v>144</v>
      </c>
      <c r="F71" s="22">
        <v>0</v>
      </c>
      <c r="G71" s="34">
        <v>12</v>
      </c>
      <c r="H71" s="35">
        <v>1</v>
      </c>
      <c r="I71" s="36" t="s">
        <v>42</v>
      </c>
      <c r="J71" s="37">
        <v>2885.75</v>
      </c>
      <c r="K71" s="34" t="s">
        <v>43</v>
      </c>
      <c r="L71" s="37">
        <v>3736.1774999999998</v>
      </c>
      <c r="M71" s="38">
        <v>1</v>
      </c>
      <c r="N71" s="25">
        <f t="shared" si="2"/>
        <v>3736.1805249999998</v>
      </c>
      <c r="O71" s="25">
        <f t="shared" si="3"/>
        <v>3736.1805249999998</v>
      </c>
      <c r="P71" s="34">
        <v>2031</v>
      </c>
      <c r="Q71" s="39"/>
      <c r="R71" s="40"/>
      <c r="S71" s="40"/>
      <c r="T71" s="40"/>
      <c r="U71" s="40"/>
      <c r="V71" s="40"/>
      <c r="W71" s="40"/>
      <c r="X71" s="40"/>
      <c r="Y71" s="40"/>
      <c r="Z71" s="40"/>
      <c r="AA71" s="40">
        <v>3736</v>
      </c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>
        <v>3736</v>
      </c>
      <c r="AN71" s="40"/>
      <c r="AO71" s="40"/>
      <c r="AP71" s="40"/>
      <c r="AQ71" s="40"/>
      <c r="AR71" s="40"/>
      <c r="AS71" s="40"/>
      <c r="AT71" s="40"/>
      <c r="AU71" s="40"/>
      <c r="AV71" s="41">
        <v>249</v>
      </c>
      <c r="AW71" s="40">
        <v>311</v>
      </c>
      <c r="AX71" s="42">
        <v>7472</v>
      </c>
      <c r="AY71" s="378" t="s">
        <v>144</v>
      </c>
      <c r="AZ71" s="348"/>
      <c r="BA71" s="2"/>
      <c r="BB71" s="2"/>
      <c r="BC71" s="2"/>
    </row>
    <row r="72" spans="1:55" ht="15" customHeight="1" x14ac:dyDescent="0.25">
      <c r="A72" s="45" t="s">
        <v>95</v>
      </c>
      <c r="B72" s="389" t="s">
        <v>139</v>
      </c>
      <c r="C72" s="377"/>
      <c r="D72" s="377"/>
      <c r="E72" s="33" t="s">
        <v>145</v>
      </c>
      <c r="F72" s="22">
        <v>0</v>
      </c>
      <c r="G72" s="9">
        <v>3</v>
      </c>
      <c r="H72" s="23">
        <v>1</v>
      </c>
      <c r="I72" s="24" t="s">
        <v>42</v>
      </c>
      <c r="J72" s="25">
        <v>163</v>
      </c>
      <c r="K72" s="9" t="s">
        <v>43</v>
      </c>
      <c r="L72" s="25">
        <v>211.0361</v>
      </c>
      <c r="M72" s="26">
        <v>1</v>
      </c>
      <c r="N72" s="25">
        <f t="shared" si="2"/>
        <v>211.03609999999998</v>
      </c>
      <c r="O72" s="25">
        <f t="shared" si="3"/>
        <v>211.03609999999998</v>
      </c>
      <c r="P72" s="9">
        <v>2024</v>
      </c>
      <c r="Q72" s="10"/>
      <c r="R72" s="29"/>
      <c r="S72" s="29"/>
      <c r="T72" s="29">
        <v>211</v>
      </c>
      <c r="U72" s="29"/>
      <c r="V72" s="29"/>
      <c r="W72" s="29">
        <v>211</v>
      </c>
      <c r="X72" s="29"/>
      <c r="Y72" s="29"/>
      <c r="Z72" s="29">
        <v>211</v>
      </c>
      <c r="AA72" s="29"/>
      <c r="AB72" s="29"/>
      <c r="AC72" s="29">
        <v>211</v>
      </c>
      <c r="AD72" s="29"/>
      <c r="AE72" s="29"/>
      <c r="AF72" s="29">
        <v>211</v>
      </c>
      <c r="AG72" s="29"/>
      <c r="AH72" s="29"/>
      <c r="AI72" s="29">
        <v>211</v>
      </c>
      <c r="AJ72" s="29"/>
      <c r="AK72" s="29"/>
      <c r="AL72" s="29">
        <v>211</v>
      </c>
      <c r="AM72" s="29"/>
      <c r="AN72" s="29"/>
      <c r="AO72" s="29">
        <v>211</v>
      </c>
      <c r="AP72" s="29"/>
      <c r="AQ72" s="29"/>
      <c r="AR72" s="29">
        <v>211</v>
      </c>
      <c r="AS72" s="29"/>
      <c r="AT72" s="29"/>
      <c r="AU72" s="29">
        <v>211</v>
      </c>
      <c r="AV72" s="30">
        <v>70</v>
      </c>
      <c r="AW72" s="29">
        <v>70</v>
      </c>
      <c r="AX72" s="31">
        <v>2110</v>
      </c>
      <c r="AY72" s="354" t="s">
        <v>145</v>
      </c>
      <c r="AZ72" s="348"/>
      <c r="BA72" s="2"/>
      <c r="BB72" s="2"/>
      <c r="BC72" s="2"/>
    </row>
    <row r="73" spans="1:55" ht="15" customHeight="1" x14ac:dyDescent="0.25">
      <c r="A73" s="43" t="s">
        <v>74</v>
      </c>
      <c r="B73" s="378" t="s">
        <v>146</v>
      </c>
      <c r="C73" s="377"/>
      <c r="D73" s="377"/>
      <c r="E73" s="33" t="s">
        <v>147</v>
      </c>
      <c r="F73" s="22">
        <v>0</v>
      </c>
      <c r="G73" s="34">
        <v>10</v>
      </c>
      <c r="H73" s="35">
        <v>1</v>
      </c>
      <c r="I73" s="36" t="s">
        <v>42</v>
      </c>
      <c r="J73" s="37">
        <v>17745</v>
      </c>
      <c r="K73" s="34" t="s">
        <v>43</v>
      </c>
      <c r="L73" s="37">
        <v>22974.451499999999</v>
      </c>
      <c r="M73" s="38">
        <v>1</v>
      </c>
      <c r="N73" s="25">
        <f t="shared" si="2"/>
        <v>22974.451500000003</v>
      </c>
      <c r="O73" s="25">
        <f t="shared" si="3"/>
        <v>22974.451500000003</v>
      </c>
      <c r="P73" s="34">
        <v>2027</v>
      </c>
      <c r="Q73" s="39"/>
      <c r="R73" s="40"/>
      <c r="S73" s="40"/>
      <c r="T73" s="40"/>
      <c r="U73" s="40"/>
      <c r="V73" s="40"/>
      <c r="W73" s="40">
        <v>22974</v>
      </c>
      <c r="X73" s="40"/>
      <c r="Y73" s="40"/>
      <c r="Z73" s="40"/>
      <c r="AA73" s="40"/>
      <c r="AB73" s="40"/>
      <c r="AC73" s="40"/>
      <c r="AD73" s="40"/>
      <c r="AE73" s="40"/>
      <c r="AF73" s="40"/>
      <c r="AG73" s="40">
        <v>22974</v>
      </c>
      <c r="AH73" s="40"/>
      <c r="AI73" s="40"/>
      <c r="AJ73" s="40"/>
      <c r="AK73" s="40"/>
      <c r="AL73" s="40"/>
      <c r="AM73" s="40"/>
      <c r="AN73" s="40"/>
      <c r="AO73" s="40"/>
      <c r="AP73" s="40"/>
      <c r="AQ73" s="40">
        <v>22974</v>
      </c>
      <c r="AR73" s="40"/>
      <c r="AS73" s="40"/>
      <c r="AT73" s="40"/>
      <c r="AU73" s="40"/>
      <c r="AV73" s="41">
        <v>2297</v>
      </c>
      <c r="AW73" s="40">
        <v>2297</v>
      </c>
      <c r="AX73" s="42">
        <v>68922</v>
      </c>
      <c r="AY73" s="378" t="s">
        <v>147</v>
      </c>
      <c r="AZ73" s="348"/>
      <c r="BA73" s="2"/>
      <c r="BB73" s="2"/>
      <c r="BC73" s="2"/>
    </row>
    <row r="74" spans="1:55" ht="15" customHeight="1" x14ac:dyDescent="0.25">
      <c r="A74" s="43" t="s">
        <v>74</v>
      </c>
      <c r="B74" s="354" t="s">
        <v>146</v>
      </c>
      <c r="C74" s="348"/>
      <c r="D74" s="348"/>
      <c r="E74" s="8" t="s">
        <v>148</v>
      </c>
      <c r="F74" s="22">
        <v>0</v>
      </c>
      <c r="G74" s="9">
        <v>15</v>
      </c>
      <c r="H74" s="23">
        <v>1</v>
      </c>
      <c r="I74" s="24" t="s">
        <v>42</v>
      </c>
      <c r="J74" s="25">
        <v>13765</v>
      </c>
      <c r="K74" s="9" t="s">
        <v>43</v>
      </c>
      <c r="L74" s="25">
        <v>17821.5455</v>
      </c>
      <c r="M74" s="26">
        <v>1</v>
      </c>
      <c r="N74" s="25">
        <f t="shared" si="2"/>
        <v>17821.5455</v>
      </c>
      <c r="O74" s="25">
        <f t="shared" si="3"/>
        <v>17821.5455</v>
      </c>
      <c r="P74" s="9">
        <v>2031</v>
      </c>
      <c r="Q74" s="10"/>
      <c r="R74" s="29"/>
      <c r="S74" s="29"/>
      <c r="T74" s="29"/>
      <c r="U74" s="29"/>
      <c r="V74" s="29"/>
      <c r="W74" s="29"/>
      <c r="X74" s="29"/>
      <c r="Y74" s="29"/>
      <c r="Z74" s="29"/>
      <c r="AA74" s="29">
        <v>17822</v>
      </c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>
        <v>17822</v>
      </c>
      <c r="AQ74" s="29"/>
      <c r="AR74" s="29"/>
      <c r="AS74" s="29"/>
      <c r="AT74" s="29"/>
      <c r="AU74" s="29"/>
      <c r="AV74" s="30">
        <v>1188</v>
      </c>
      <c r="AW74" s="29">
        <v>1188</v>
      </c>
      <c r="AX74" s="31">
        <v>35644</v>
      </c>
      <c r="AY74" s="354" t="s">
        <v>148</v>
      </c>
      <c r="AZ74" s="348"/>
      <c r="BA74" s="2"/>
      <c r="BB74" s="2"/>
      <c r="BC74" s="2"/>
    </row>
    <row r="75" spans="1:55" ht="15" customHeight="1" x14ac:dyDescent="0.25">
      <c r="A75" s="43" t="s">
        <v>74</v>
      </c>
      <c r="B75" s="378" t="s">
        <v>146</v>
      </c>
      <c r="C75" s="377"/>
      <c r="D75" s="377"/>
      <c r="E75" s="33" t="s">
        <v>149</v>
      </c>
      <c r="F75" s="22">
        <v>0</v>
      </c>
      <c r="G75" s="34">
        <v>20</v>
      </c>
      <c r="H75" s="35">
        <v>1</v>
      </c>
      <c r="I75" s="36" t="s">
        <v>42</v>
      </c>
      <c r="J75" s="37">
        <v>13163</v>
      </c>
      <c r="K75" s="34" t="s">
        <v>43</v>
      </c>
      <c r="L75" s="37">
        <v>17042.1361</v>
      </c>
      <c r="M75" s="38">
        <v>1</v>
      </c>
      <c r="N75" s="25">
        <f t="shared" si="2"/>
        <v>17042.1361</v>
      </c>
      <c r="O75" s="25">
        <f t="shared" si="3"/>
        <v>17042.1361</v>
      </c>
      <c r="P75" s="34">
        <v>2027</v>
      </c>
      <c r="Q75" s="39"/>
      <c r="R75" s="40"/>
      <c r="S75" s="40"/>
      <c r="T75" s="40"/>
      <c r="U75" s="40"/>
      <c r="V75" s="40"/>
      <c r="W75" s="40">
        <v>17042</v>
      </c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>
        <v>17042</v>
      </c>
      <c r="AR75" s="40"/>
      <c r="AS75" s="40"/>
      <c r="AT75" s="40"/>
      <c r="AU75" s="40"/>
      <c r="AV75" s="41">
        <v>1136</v>
      </c>
      <c r="AW75" s="40">
        <v>852</v>
      </c>
      <c r="AX75" s="42">
        <v>34084</v>
      </c>
      <c r="AY75" s="378" t="s">
        <v>149</v>
      </c>
      <c r="AZ75" s="348"/>
      <c r="BA75" s="2"/>
      <c r="BB75" s="2"/>
      <c r="BC75" s="2"/>
    </row>
    <row r="76" spans="1:55" ht="15" customHeight="1" x14ac:dyDescent="0.25">
      <c r="A76" s="43" t="s">
        <v>74</v>
      </c>
      <c r="B76" s="354" t="s">
        <v>146</v>
      </c>
      <c r="C76" s="348"/>
      <c r="D76" s="348"/>
      <c r="E76" s="8" t="s">
        <v>150</v>
      </c>
      <c r="F76" s="22">
        <v>0</v>
      </c>
      <c r="G76" s="9">
        <v>20</v>
      </c>
      <c r="H76" s="23">
        <v>1</v>
      </c>
      <c r="I76" s="24" t="s">
        <v>42</v>
      </c>
      <c r="J76" s="25">
        <v>37050</v>
      </c>
      <c r="K76" s="9" t="s">
        <v>43</v>
      </c>
      <c r="L76" s="25">
        <v>47968.635000000002</v>
      </c>
      <c r="M76" s="26">
        <v>1</v>
      </c>
      <c r="N76" s="25">
        <f t="shared" si="2"/>
        <v>47968.635000000002</v>
      </c>
      <c r="O76" s="25">
        <f t="shared" si="3"/>
        <v>47968.635000000002</v>
      </c>
      <c r="P76" s="9">
        <v>2036</v>
      </c>
      <c r="Q76" s="10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>
        <v>47969</v>
      </c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30">
        <v>1599</v>
      </c>
      <c r="AW76" s="29">
        <v>2398</v>
      </c>
      <c r="AX76" s="31">
        <v>47969</v>
      </c>
      <c r="AY76" s="354" t="s">
        <v>150</v>
      </c>
      <c r="AZ76" s="348"/>
      <c r="BA76" s="2"/>
      <c r="BB76" s="2"/>
      <c r="BC76" s="2"/>
    </row>
    <row r="77" spans="1:55" ht="15" customHeight="1" x14ac:dyDescent="0.25">
      <c r="A77" s="43" t="s">
        <v>74</v>
      </c>
      <c r="B77" s="378" t="s">
        <v>146</v>
      </c>
      <c r="C77" s="377"/>
      <c r="D77" s="377"/>
      <c r="E77" s="33" t="s">
        <v>151</v>
      </c>
      <c r="F77" s="22">
        <v>0</v>
      </c>
      <c r="G77" s="34">
        <v>25</v>
      </c>
      <c r="H77" s="35">
        <v>1</v>
      </c>
      <c r="I77" s="36" t="s">
        <v>42</v>
      </c>
      <c r="J77" s="37">
        <v>44005</v>
      </c>
      <c r="K77" s="34" t="s">
        <v>43</v>
      </c>
      <c r="L77" s="37">
        <v>56973.273500000003</v>
      </c>
      <c r="M77" s="38">
        <v>1</v>
      </c>
      <c r="N77" s="25">
        <f t="shared" si="2"/>
        <v>56973.273500000003</v>
      </c>
      <c r="O77" s="25">
        <f t="shared" si="3"/>
        <v>56973.273500000003</v>
      </c>
      <c r="P77" s="34">
        <v>2041</v>
      </c>
      <c r="Q77" s="39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>
        <v>56973</v>
      </c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1">
        <v>1899</v>
      </c>
      <c r="AW77" s="40">
        <v>2279</v>
      </c>
      <c r="AX77" s="42">
        <v>56973</v>
      </c>
      <c r="AY77" s="378" t="s">
        <v>151</v>
      </c>
      <c r="AZ77" s="348"/>
      <c r="BA77" s="2"/>
      <c r="BB77" s="2"/>
      <c r="BC77" s="2"/>
    </row>
    <row r="78" spans="1:55" ht="17.25" x14ac:dyDescent="0.25">
      <c r="A78" s="14"/>
      <c r="B78" s="350" t="s">
        <v>152</v>
      </c>
      <c r="C78" s="348"/>
      <c r="D78" s="350"/>
      <c r="E78" s="14"/>
      <c r="F78" s="15"/>
      <c r="G78" s="15"/>
      <c r="H78" s="15"/>
      <c r="I78" s="15"/>
      <c r="J78" s="15"/>
      <c r="K78" s="15"/>
      <c r="L78" s="15"/>
      <c r="M78" s="15"/>
      <c r="N78" s="25">
        <f t="shared" si="2"/>
        <v>0</v>
      </c>
      <c r="O78" s="25">
        <f t="shared" si="3"/>
        <v>0</v>
      </c>
      <c r="P78" s="15"/>
      <c r="Q78" s="16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8"/>
      <c r="AW78" s="17"/>
      <c r="AX78" s="19"/>
      <c r="AY78" s="351"/>
      <c r="AZ78" s="351"/>
      <c r="BA78" s="2"/>
      <c r="BB78" s="2"/>
      <c r="BC78" s="2"/>
    </row>
    <row r="79" spans="1:55" ht="15" customHeight="1" x14ac:dyDescent="0.25">
      <c r="A79" s="20" t="s">
        <v>40</v>
      </c>
      <c r="B79" s="354" t="s">
        <v>153</v>
      </c>
      <c r="C79" s="348"/>
      <c r="D79" s="348"/>
      <c r="E79" s="8" t="s">
        <v>154</v>
      </c>
      <c r="F79" s="22">
        <v>0</v>
      </c>
      <c r="G79" s="9">
        <v>3</v>
      </c>
      <c r="H79" s="23">
        <v>1</v>
      </c>
      <c r="I79" s="24" t="s">
        <v>42</v>
      </c>
      <c r="J79" s="25">
        <v>1275</v>
      </c>
      <c r="K79" s="9" t="s">
        <v>43</v>
      </c>
      <c r="L79" s="25">
        <v>1650.7425000000001</v>
      </c>
      <c r="M79" s="26">
        <v>1</v>
      </c>
      <c r="N79" s="25">
        <f t="shared" si="2"/>
        <v>1650.7425000000001</v>
      </c>
      <c r="O79" s="25">
        <f t="shared" si="3"/>
        <v>1650.7425000000001</v>
      </c>
      <c r="P79" s="9">
        <v>2024</v>
      </c>
      <c r="Q79" s="10"/>
      <c r="R79" s="29"/>
      <c r="S79" s="29"/>
      <c r="T79" s="29">
        <v>1651</v>
      </c>
      <c r="U79" s="29"/>
      <c r="V79" s="29"/>
      <c r="W79" s="29">
        <v>1651</v>
      </c>
      <c r="X79" s="29"/>
      <c r="Y79" s="29"/>
      <c r="Z79" s="29">
        <v>1651</v>
      </c>
      <c r="AA79" s="29"/>
      <c r="AB79" s="29"/>
      <c r="AC79" s="29">
        <v>1651</v>
      </c>
      <c r="AD79" s="29"/>
      <c r="AE79" s="29"/>
      <c r="AF79" s="29">
        <v>1651</v>
      </c>
      <c r="AG79" s="29"/>
      <c r="AH79" s="29"/>
      <c r="AI79" s="29">
        <v>1651</v>
      </c>
      <c r="AJ79" s="29"/>
      <c r="AK79" s="29"/>
      <c r="AL79" s="29">
        <v>1651</v>
      </c>
      <c r="AM79" s="29"/>
      <c r="AN79" s="29"/>
      <c r="AO79" s="29">
        <v>1651</v>
      </c>
      <c r="AP79" s="29"/>
      <c r="AQ79" s="29"/>
      <c r="AR79" s="29">
        <v>1651</v>
      </c>
      <c r="AS79" s="29"/>
      <c r="AT79" s="29"/>
      <c r="AU79" s="29">
        <v>1651</v>
      </c>
      <c r="AV79" s="30">
        <v>550</v>
      </c>
      <c r="AW79" s="29">
        <v>550</v>
      </c>
      <c r="AX79" s="31">
        <v>16510</v>
      </c>
      <c r="AY79" s="354" t="s">
        <v>154</v>
      </c>
      <c r="AZ79" s="348"/>
      <c r="BA79" s="2"/>
      <c r="BB79" s="2"/>
      <c r="BC79" s="2"/>
    </row>
    <row r="80" spans="1:55" x14ac:dyDescent="0.25">
      <c r="B80" s="2"/>
      <c r="C80" s="2"/>
      <c r="D80" s="2"/>
      <c r="E80" s="2"/>
      <c r="F80" s="2"/>
      <c r="G80" s="2"/>
      <c r="H80" s="2"/>
      <c r="I80" s="2"/>
      <c r="J80" s="390" t="s">
        <v>155</v>
      </c>
      <c r="K80" s="347"/>
      <c r="L80" s="347"/>
      <c r="M80" s="347"/>
      <c r="N80" s="347"/>
      <c r="O80" s="347"/>
      <c r="P80" s="347"/>
      <c r="Q80" s="347"/>
      <c r="R80" s="62">
        <f>SUM(R15:R79)</f>
        <v>11108</v>
      </c>
      <c r="S80" s="62">
        <f t="shared" ref="S80:AU80" si="6">SUM(S15:S79)</f>
        <v>569</v>
      </c>
      <c r="T80" s="62">
        <f t="shared" si="6"/>
        <v>10865</v>
      </c>
      <c r="U80" s="62">
        <f t="shared" si="6"/>
        <v>0</v>
      </c>
      <c r="V80" s="62">
        <f t="shared" si="6"/>
        <v>1134</v>
      </c>
      <c r="W80" s="62">
        <f t="shared" si="6"/>
        <v>64190.45</v>
      </c>
      <c r="X80" s="62">
        <f t="shared" si="6"/>
        <v>3813</v>
      </c>
      <c r="Y80" s="62">
        <f t="shared" si="6"/>
        <v>194</v>
      </c>
      <c r="Z80" s="62">
        <f t="shared" si="6"/>
        <v>4094</v>
      </c>
      <c r="AA80" s="62">
        <f t="shared" si="6"/>
        <v>52955</v>
      </c>
      <c r="AB80" s="62">
        <f t="shared" si="6"/>
        <v>10462</v>
      </c>
      <c r="AC80" s="62">
        <f t="shared" si="6"/>
        <v>2237</v>
      </c>
      <c r="AD80" s="62">
        <f t="shared" si="6"/>
        <v>9242</v>
      </c>
      <c r="AE80" s="62">
        <f t="shared" si="6"/>
        <v>194</v>
      </c>
      <c r="AF80" s="62">
        <f t="shared" si="6"/>
        <v>54561</v>
      </c>
      <c r="AG80" s="62">
        <f t="shared" si="6"/>
        <v>123366</v>
      </c>
      <c r="AH80" s="62">
        <f t="shared" si="6"/>
        <v>5782</v>
      </c>
      <c r="AI80" s="62">
        <f t="shared" si="6"/>
        <v>1862</v>
      </c>
      <c r="AJ80" s="62">
        <f t="shared" si="6"/>
        <v>3438</v>
      </c>
      <c r="AK80" s="62">
        <f t="shared" si="6"/>
        <v>57167</v>
      </c>
      <c r="AL80" s="62">
        <f t="shared" si="6"/>
        <v>146947</v>
      </c>
      <c r="AM80" s="62">
        <f t="shared" si="6"/>
        <v>4111</v>
      </c>
      <c r="AN80" s="62">
        <f t="shared" si="6"/>
        <v>3632</v>
      </c>
      <c r="AO80" s="62">
        <f t="shared" si="6"/>
        <v>6135</v>
      </c>
      <c r="AP80" s="62">
        <f t="shared" si="6"/>
        <v>37386</v>
      </c>
      <c r="AQ80" s="62">
        <f t="shared" si="6"/>
        <v>74228</v>
      </c>
      <c r="AR80" s="62">
        <f t="shared" si="6"/>
        <v>6967</v>
      </c>
      <c r="AS80" s="62">
        <f t="shared" si="6"/>
        <v>0</v>
      </c>
      <c r="AT80" s="62">
        <f t="shared" si="6"/>
        <v>1134</v>
      </c>
      <c r="AU80" s="62">
        <f t="shared" si="6"/>
        <v>1862</v>
      </c>
      <c r="AV80" s="63">
        <f>SUM(AV15:AV79)</f>
        <v>24163.333333333336</v>
      </c>
      <c r="AW80" s="63">
        <v>69302</v>
      </c>
      <c r="AX80" s="63">
        <v>716456</v>
      </c>
      <c r="AY80" s="63"/>
      <c r="AZ80" s="2"/>
      <c r="BA80" s="2"/>
      <c r="BB80" s="2"/>
      <c r="BC80" s="2"/>
    </row>
    <row r="81" spans="1:41" ht="24" thickBot="1" x14ac:dyDescent="0.4">
      <c r="B81" s="64" t="s">
        <v>156</v>
      </c>
      <c r="C81" s="65"/>
      <c r="AL81" s="66">
        <f>+AN80/20</f>
        <v>181.6</v>
      </c>
    </row>
    <row r="82" spans="1:41" ht="21" x14ac:dyDescent="0.35">
      <c r="B82" s="67" t="s">
        <v>157</v>
      </c>
      <c r="C82" s="69">
        <v>0.03</v>
      </c>
      <c r="D82" s="68"/>
      <c r="E82" s="68"/>
      <c r="F82" s="68"/>
      <c r="G82" s="68"/>
      <c r="H82" s="68"/>
      <c r="I82" s="68"/>
      <c r="J82" s="68"/>
      <c r="K82" s="68"/>
      <c r="L82" s="70"/>
      <c r="M82" s="68"/>
      <c r="N82" s="71"/>
      <c r="O82" s="71"/>
      <c r="P82" s="68"/>
      <c r="Q82" s="68"/>
      <c r="R82" s="68">
        <v>1</v>
      </c>
      <c r="S82" s="68">
        <f>+R82+1</f>
        <v>2</v>
      </c>
      <c r="T82" s="68">
        <f t="shared" ref="T82:AK82" si="7">+S82+1</f>
        <v>3</v>
      </c>
      <c r="U82" s="68">
        <f t="shared" si="7"/>
        <v>4</v>
      </c>
      <c r="V82" s="68">
        <f t="shared" si="7"/>
        <v>5</v>
      </c>
      <c r="W82" s="68">
        <f t="shared" si="7"/>
        <v>6</v>
      </c>
      <c r="X82" s="68">
        <f t="shared" si="7"/>
        <v>7</v>
      </c>
      <c r="Y82" s="68">
        <f t="shared" si="7"/>
        <v>8</v>
      </c>
      <c r="Z82" s="68">
        <f t="shared" si="7"/>
        <v>9</v>
      </c>
      <c r="AA82" s="68">
        <f t="shared" si="7"/>
        <v>10</v>
      </c>
      <c r="AB82" s="68">
        <f t="shared" si="7"/>
        <v>11</v>
      </c>
      <c r="AC82" s="68">
        <f t="shared" si="7"/>
        <v>12</v>
      </c>
      <c r="AD82" s="68">
        <f t="shared" si="7"/>
        <v>13</v>
      </c>
      <c r="AE82" s="68">
        <f t="shared" si="7"/>
        <v>14</v>
      </c>
      <c r="AF82" s="68">
        <f t="shared" si="7"/>
        <v>15</v>
      </c>
      <c r="AG82" s="68">
        <f t="shared" si="7"/>
        <v>16</v>
      </c>
      <c r="AH82" s="68">
        <f t="shared" si="7"/>
        <v>17</v>
      </c>
      <c r="AI82" s="68">
        <f t="shared" si="7"/>
        <v>18</v>
      </c>
      <c r="AJ82" s="68">
        <f t="shared" si="7"/>
        <v>19</v>
      </c>
      <c r="AK82" s="68">
        <f t="shared" si="7"/>
        <v>20</v>
      </c>
      <c r="AL82" s="72">
        <v>21</v>
      </c>
      <c r="AM82" s="73" t="s">
        <v>38</v>
      </c>
      <c r="AN82" s="74" t="s">
        <v>158</v>
      </c>
    </row>
    <row r="83" spans="1:41" ht="15.75" thickBot="1" x14ac:dyDescent="0.3">
      <c r="B83" s="75"/>
      <c r="C83" s="76"/>
      <c r="D83" s="76"/>
      <c r="E83" s="76"/>
      <c r="F83" s="76"/>
      <c r="G83" s="76"/>
      <c r="H83" s="76"/>
      <c r="I83" s="76"/>
      <c r="J83" s="76"/>
      <c r="K83" s="76"/>
      <c r="L83" s="77"/>
      <c r="M83" s="76"/>
      <c r="N83" s="78"/>
      <c r="O83" s="78"/>
      <c r="P83" s="76"/>
      <c r="Q83" s="76"/>
      <c r="R83" s="78">
        <f t="shared" ref="R83:AK83" si="8">+R80*(1+$C$82)^R82</f>
        <v>11441.24</v>
      </c>
      <c r="S83" s="78">
        <f t="shared" si="8"/>
        <v>603.65210000000002</v>
      </c>
      <c r="T83" s="78">
        <f t="shared" si="8"/>
        <v>11872.478854999999</v>
      </c>
      <c r="U83" s="78">
        <f t="shared" si="8"/>
        <v>0</v>
      </c>
      <c r="V83" s="78">
        <f t="shared" si="8"/>
        <v>1314.6168002561999</v>
      </c>
      <c r="W83" s="78">
        <f t="shared" si="8"/>
        <v>76646.75423772994</v>
      </c>
      <c r="X83" s="78">
        <f t="shared" si="8"/>
        <v>4689.5090488650294</v>
      </c>
      <c r="Y83" s="78">
        <f t="shared" si="8"/>
        <v>245.7533957891975</v>
      </c>
      <c r="Z83" s="78">
        <f t="shared" si="8"/>
        <v>5341.7414145969269</v>
      </c>
      <c r="AA83" s="78">
        <f t="shared" si="8"/>
        <v>71167.091868167976</v>
      </c>
      <c r="AB83" s="78">
        <f t="shared" si="8"/>
        <v>14481.854755519149</v>
      </c>
      <c r="AC83" s="78">
        <f t="shared" si="8"/>
        <v>3189.4271038749016</v>
      </c>
      <c r="AD83" s="78">
        <f t="shared" si="8"/>
        <v>13572.188579719354</v>
      </c>
      <c r="AE83" s="78">
        <f t="shared" si="8"/>
        <v>293.44240662189151</v>
      </c>
      <c r="AF83" s="78">
        <f t="shared" si="8"/>
        <v>85004.260217154311</v>
      </c>
      <c r="AG83" s="78">
        <f t="shared" si="8"/>
        <v>197966.21456586098</v>
      </c>
      <c r="AH83" s="78">
        <f t="shared" si="8"/>
        <v>9556.7650097952628</v>
      </c>
      <c r="AI83" s="78">
        <f t="shared" si="8"/>
        <v>3169.9303600286999</v>
      </c>
      <c r="AJ83" s="78">
        <f t="shared" si="8"/>
        <v>6028.5538104790703</v>
      </c>
      <c r="AK83" s="78">
        <f t="shared" si="8"/>
        <v>103249.96095234634</v>
      </c>
      <c r="AL83" s="78">
        <f>+AL80*(1+$C$82)^AL82</f>
        <v>273364.70642899524</v>
      </c>
      <c r="AM83" s="79">
        <f>SUM(S83:AL83)</f>
        <v>881758.90191080049</v>
      </c>
      <c r="AN83" s="80">
        <f>+AM83/20</f>
        <v>44087.945095540024</v>
      </c>
    </row>
    <row r="84" spans="1:41" x14ac:dyDescent="0.25">
      <c r="B84" s="81"/>
      <c r="L84" s="82"/>
      <c r="N84" s="66"/>
      <c r="O84" s="66"/>
      <c r="AK84" s="83"/>
      <c r="AM84" s="84"/>
    </row>
    <row r="85" spans="1:41" ht="21.75" thickBot="1" x14ac:dyDescent="0.4">
      <c r="A85" s="85"/>
      <c r="B85" s="81"/>
      <c r="L85" s="82"/>
      <c r="N85" s="85" t="s">
        <v>159</v>
      </c>
      <c r="O85" s="85"/>
      <c r="V85" s="82" t="s">
        <v>160</v>
      </c>
      <c r="AK85" s="83"/>
      <c r="AM85" s="84"/>
    </row>
    <row r="86" spans="1:41" ht="21" x14ac:dyDescent="0.35">
      <c r="D86" s="83"/>
      <c r="E86" s="83"/>
      <c r="F86" s="81"/>
      <c r="G86" s="83"/>
      <c r="H86" s="86"/>
      <c r="J86" s="87"/>
      <c r="L86" s="82"/>
      <c r="N86" s="88" t="s">
        <v>161</v>
      </c>
      <c r="O86" s="191"/>
      <c r="P86" s="89"/>
      <c r="Q86" s="90"/>
      <c r="R86" s="91">
        <v>2022</v>
      </c>
      <c r="S86" s="92">
        <f>+R86+1</f>
        <v>2023</v>
      </c>
      <c r="T86" s="92">
        <f t="shared" ref="T86:AL86" si="9">+S86+1</f>
        <v>2024</v>
      </c>
      <c r="U86" s="92">
        <f t="shared" si="9"/>
        <v>2025</v>
      </c>
      <c r="V86" s="92">
        <f t="shared" si="9"/>
        <v>2026</v>
      </c>
      <c r="W86" s="92">
        <f t="shared" si="9"/>
        <v>2027</v>
      </c>
      <c r="X86" s="92">
        <f t="shared" si="9"/>
        <v>2028</v>
      </c>
      <c r="Y86" s="92">
        <f t="shared" si="9"/>
        <v>2029</v>
      </c>
      <c r="Z86" s="92">
        <f t="shared" si="9"/>
        <v>2030</v>
      </c>
      <c r="AA86" s="92">
        <f t="shared" si="9"/>
        <v>2031</v>
      </c>
      <c r="AB86" s="92">
        <f t="shared" si="9"/>
        <v>2032</v>
      </c>
      <c r="AC86" s="92">
        <f t="shared" si="9"/>
        <v>2033</v>
      </c>
      <c r="AD86" s="92">
        <f t="shared" si="9"/>
        <v>2034</v>
      </c>
      <c r="AE86" s="92">
        <f t="shared" si="9"/>
        <v>2035</v>
      </c>
      <c r="AF86" s="92">
        <f t="shared" si="9"/>
        <v>2036</v>
      </c>
      <c r="AG86" s="92">
        <f t="shared" si="9"/>
        <v>2037</v>
      </c>
      <c r="AH86" s="92">
        <f t="shared" si="9"/>
        <v>2038</v>
      </c>
      <c r="AI86" s="92">
        <f t="shared" si="9"/>
        <v>2039</v>
      </c>
      <c r="AJ86" s="92">
        <f t="shared" si="9"/>
        <v>2040</v>
      </c>
      <c r="AK86" s="92">
        <f t="shared" si="9"/>
        <v>2041</v>
      </c>
      <c r="AL86" s="93">
        <f t="shared" si="9"/>
        <v>2042</v>
      </c>
      <c r="AM86" s="94" t="s">
        <v>38</v>
      </c>
      <c r="AN86" s="95" t="s">
        <v>158</v>
      </c>
    </row>
    <row r="87" spans="1:41" x14ac:dyDescent="0.25">
      <c r="A87" s="96"/>
      <c r="B87" s="2"/>
      <c r="C87" s="2"/>
      <c r="D87" s="66"/>
      <c r="E87" s="66"/>
      <c r="G87" s="66"/>
      <c r="H87" s="66"/>
      <c r="J87" s="66"/>
      <c r="L87" s="82"/>
      <c r="N87" s="97" t="s">
        <v>40</v>
      </c>
      <c r="O87" s="192"/>
      <c r="P87" s="98" t="s">
        <v>162</v>
      </c>
      <c r="Q87" s="99"/>
      <c r="R87" s="100">
        <f t="shared" ref="R87:AL87" si="10">SUMIF($A$16:$A$79,$N87,R$16:R$79)</f>
        <v>2589</v>
      </c>
      <c r="S87" s="66">
        <f t="shared" si="10"/>
        <v>375</v>
      </c>
      <c r="T87" s="66">
        <f t="shared" si="10"/>
        <v>4888</v>
      </c>
      <c r="U87" s="66">
        <f t="shared" si="10"/>
        <v>0</v>
      </c>
      <c r="V87" s="66">
        <f t="shared" si="10"/>
        <v>0</v>
      </c>
      <c r="W87" s="66">
        <f t="shared" si="10"/>
        <v>6182.45</v>
      </c>
      <c r="X87" s="66">
        <f t="shared" si="10"/>
        <v>375</v>
      </c>
      <c r="Y87" s="66">
        <f t="shared" si="10"/>
        <v>0</v>
      </c>
      <c r="Z87" s="66">
        <f t="shared" si="10"/>
        <v>1651</v>
      </c>
      <c r="AA87" s="66">
        <f t="shared" si="10"/>
        <v>3237</v>
      </c>
      <c r="AB87" s="66">
        <f t="shared" si="10"/>
        <v>2254</v>
      </c>
      <c r="AC87" s="66">
        <f t="shared" si="10"/>
        <v>2026</v>
      </c>
      <c r="AD87" s="66">
        <f t="shared" si="10"/>
        <v>8302</v>
      </c>
      <c r="AE87" s="66">
        <f t="shared" si="10"/>
        <v>0</v>
      </c>
      <c r="AF87" s="66">
        <f t="shared" si="10"/>
        <v>1651</v>
      </c>
      <c r="AG87" s="66">
        <f t="shared" si="10"/>
        <v>5696</v>
      </c>
      <c r="AH87" s="66">
        <f t="shared" si="10"/>
        <v>3612</v>
      </c>
      <c r="AI87" s="66">
        <f t="shared" si="10"/>
        <v>1651</v>
      </c>
      <c r="AJ87" s="66">
        <f t="shared" si="10"/>
        <v>0</v>
      </c>
      <c r="AK87" s="66">
        <f t="shared" si="10"/>
        <v>0</v>
      </c>
      <c r="AL87" s="66">
        <f t="shared" si="10"/>
        <v>95859</v>
      </c>
      <c r="AM87" s="101">
        <f>SUM(S87:AL87)</f>
        <v>137759.45000000001</v>
      </c>
      <c r="AN87" s="102"/>
    </row>
    <row r="88" spans="1:41" x14ac:dyDescent="0.25">
      <c r="A88" s="96"/>
      <c r="B88" s="2"/>
      <c r="D88" s="66"/>
      <c r="E88" s="66"/>
      <c r="F88" s="66"/>
      <c r="G88" s="66"/>
      <c r="H88" s="66"/>
      <c r="J88" s="66"/>
      <c r="N88" s="103" t="s">
        <v>40</v>
      </c>
      <c r="O88" s="193"/>
      <c r="P88" s="104" t="s">
        <v>163</v>
      </c>
      <c r="Q88" s="104"/>
      <c r="R88" s="105">
        <f>+R87*(1+$C$82)^R$82</f>
        <v>2666.67</v>
      </c>
      <c r="S88" s="106">
        <f t="shared" ref="S88:AK88" si="11">+S87*(1+$C$82)^S$82</f>
        <v>397.83749999999998</v>
      </c>
      <c r="T88" s="106">
        <f t="shared" si="11"/>
        <v>5341.2495760000002</v>
      </c>
      <c r="U88" s="106">
        <f t="shared" si="11"/>
        <v>0</v>
      </c>
      <c r="V88" s="106">
        <f t="shared" si="11"/>
        <v>0</v>
      </c>
      <c r="W88" s="106">
        <f t="shared" si="11"/>
        <v>7382.1686206757149</v>
      </c>
      <c r="X88" s="106">
        <f t="shared" si="11"/>
        <v>461.20269953432626</v>
      </c>
      <c r="Y88" s="106">
        <f t="shared" si="11"/>
        <v>0</v>
      </c>
      <c r="Z88" s="106">
        <f t="shared" si="11"/>
        <v>2154.1805265020826</v>
      </c>
      <c r="AA88" s="106">
        <f t="shared" si="11"/>
        <v>4350.2573199369226</v>
      </c>
      <c r="AB88" s="106">
        <f t="shared" si="11"/>
        <v>3120.0631446129</v>
      </c>
      <c r="AC88" s="106">
        <f t="shared" si="11"/>
        <v>2888.591556750358</v>
      </c>
      <c r="AD88" s="106">
        <f t="shared" si="11"/>
        <v>12191.766889074883</v>
      </c>
      <c r="AE88" s="106">
        <f t="shared" si="11"/>
        <v>0</v>
      </c>
      <c r="AF88" s="106">
        <f t="shared" si="11"/>
        <v>2572.204204807862</v>
      </c>
      <c r="AG88" s="106">
        <f t="shared" si="11"/>
        <v>9140.4078771066906</v>
      </c>
      <c r="AH88" s="106">
        <f t="shared" si="11"/>
        <v>5970.0856477655634</v>
      </c>
      <c r="AI88" s="106">
        <f t="shared" si="11"/>
        <v>2810.7169841070804</v>
      </c>
      <c r="AJ88" s="106">
        <f t="shared" si="11"/>
        <v>0</v>
      </c>
      <c r="AK88" s="106">
        <f t="shared" si="11"/>
        <v>0</v>
      </c>
      <c r="AL88" s="106">
        <f>+AL87*(1+$C$82)^AL$82</f>
        <v>178325.97734950052</v>
      </c>
      <c r="AM88" s="107">
        <f t="shared" ref="AM88:AM118" si="12">SUM(S88:AL88)</f>
        <v>237106.7098963749</v>
      </c>
      <c r="AN88" s="108">
        <f>+AM88/20</f>
        <v>11855.335494818744</v>
      </c>
      <c r="AO88" s="66"/>
    </row>
    <row r="89" spans="1:41" x14ac:dyDescent="0.25">
      <c r="A89" s="96"/>
      <c r="B89" s="2"/>
      <c r="D89" s="66"/>
      <c r="E89" s="66"/>
      <c r="F89" s="66"/>
      <c r="G89" s="66"/>
      <c r="H89" s="66"/>
      <c r="J89" s="66"/>
      <c r="N89" s="109"/>
      <c r="O89" s="122"/>
      <c r="R89" s="100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101"/>
      <c r="AN89" s="110"/>
      <c r="AO89" s="66"/>
    </row>
    <row r="90" spans="1:41" x14ac:dyDescent="0.25">
      <c r="A90" s="96"/>
      <c r="B90" s="2"/>
      <c r="D90" s="66"/>
      <c r="E90" s="66"/>
      <c r="F90" s="66"/>
      <c r="G90" s="66"/>
      <c r="H90" s="66"/>
      <c r="J90" s="66"/>
      <c r="N90" s="111" t="s">
        <v>164</v>
      </c>
      <c r="O90" s="137"/>
      <c r="R90" s="100">
        <v>51009</v>
      </c>
      <c r="S90" s="66">
        <f>+R93</f>
        <v>54924.860523158401</v>
      </c>
      <c r="T90" s="66">
        <f t="shared" ref="T90:AL90" si="13">+S93</f>
        <v>61307.029462011553</v>
      </c>
      <c r="U90" s="66">
        <f t="shared" si="13"/>
        <v>62949.186518030299</v>
      </c>
      <c r="V90" s="66">
        <f t="shared" si="13"/>
        <v>70142.095349009614</v>
      </c>
      <c r="W90" s="66">
        <f t="shared" si="13"/>
        <v>77550.791444918301</v>
      </c>
      <c r="X90" s="66">
        <f t="shared" si="13"/>
        <v>77799.579803028537</v>
      </c>
      <c r="Y90" s="66">
        <f t="shared" si="13"/>
        <v>85198.262791643734</v>
      </c>
      <c r="Z90" s="66">
        <f t="shared" si="13"/>
        <v>93293.945050437746</v>
      </c>
      <c r="AA90" s="66">
        <f t="shared" si="13"/>
        <v>99478.317250493506</v>
      </c>
      <c r="AB90" s="66">
        <f t="shared" si="13"/>
        <v>103716.76923891116</v>
      </c>
      <c r="AC90" s="66">
        <f t="shared" si="13"/>
        <v>109443.07668190348</v>
      </c>
      <c r="AD90" s="66">
        <f t="shared" si="13"/>
        <v>115666.24683038649</v>
      </c>
      <c r="AE90" s="66">
        <f t="shared" si="13"/>
        <v>112859.59449770197</v>
      </c>
      <c r="AF90" s="66">
        <f t="shared" si="13"/>
        <v>122526.26249078405</v>
      </c>
      <c r="AG90" s="66">
        <f t="shared" si="13"/>
        <v>129910.72631885072</v>
      </c>
      <c r="AH90" s="66">
        <f t="shared" si="13"/>
        <v>131025.68651560482</v>
      </c>
      <c r="AI90" s="66">
        <f t="shared" si="13"/>
        <v>135618.62998391583</v>
      </c>
      <c r="AJ90" s="66">
        <f t="shared" si="13"/>
        <v>143687.83298936766</v>
      </c>
      <c r="AK90" s="66">
        <f t="shared" si="13"/>
        <v>154894.15057861333</v>
      </c>
      <c r="AL90" s="66">
        <f t="shared" si="13"/>
        <v>166436.65769553639</v>
      </c>
      <c r="AM90" s="101"/>
      <c r="AN90" s="110"/>
      <c r="AO90" s="66"/>
    </row>
    <row r="91" spans="1:41" x14ac:dyDescent="0.25">
      <c r="A91" s="96"/>
      <c r="B91" s="2"/>
      <c r="D91" s="66"/>
      <c r="E91" s="66"/>
      <c r="F91" s="66"/>
      <c r="G91" s="66"/>
      <c r="H91" s="66"/>
      <c r="J91" s="66"/>
      <c r="N91" s="109" t="s">
        <v>165</v>
      </c>
      <c r="O91" s="122"/>
      <c r="R91" s="100">
        <v>6582.5305231584016</v>
      </c>
      <c r="S91" s="66">
        <f>+R91*(1+$C$82)</f>
        <v>6780.0064388531537</v>
      </c>
      <c r="T91" s="66">
        <f t="shared" ref="T91:AL91" si="14">+S91*(1+$C$82)</f>
        <v>6983.4066320187485</v>
      </c>
      <c r="U91" s="66">
        <f t="shared" si="14"/>
        <v>7192.9088309793115</v>
      </c>
      <c r="V91" s="66">
        <f t="shared" si="14"/>
        <v>7408.6960959086909</v>
      </c>
      <c r="W91" s="66">
        <f t="shared" si="14"/>
        <v>7630.9569787859518</v>
      </c>
      <c r="X91" s="66">
        <f t="shared" si="14"/>
        <v>7859.8856881495303</v>
      </c>
      <c r="Y91" s="66">
        <f t="shared" si="14"/>
        <v>8095.6822587940169</v>
      </c>
      <c r="Z91" s="66">
        <f t="shared" si="14"/>
        <v>8338.5527265578385</v>
      </c>
      <c r="AA91" s="66">
        <f t="shared" si="14"/>
        <v>8588.7093083545733</v>
      </c>
      <c r="AB91" s="66">
        <f t="shared" si="14"/>
        <v>8846.3705876052099</v>
      </c>
      <c r="AC91" s="66">
        <f t="shared" si="14"/>
        <v>9111.7617052333662</v>
      </c>
      <c r="AD91" s="66">
        <f t="shared" si="14"/>
        <v>9385.1145563903683</v>
      </c>
      <c r="AE91" s="66">
        <f t="shared" si="14"/>
        <v>9666.6679930820792</v>
      </c>
      <c r="AF91" s="66">
        <f t="shared" si="14"/>
        <v>9956.6680328745424</v>
      </c>
      <c r="AG91" s="66">
        <f t="shared" si="14"/>
        <v>10255.368073860778</v>
      </c>
      <c r="AH91" s="66">
        <f t="shared" si="14"/>
        <v>10563.029116076601</v>
      </c>
      <c r="AI91" s="66">
        <f t="shared" si="14"/>
        <v>10879.919989558899</v>
      </c>
      <c r="AJ91" s="66">
        <f t="shared" si="14"/>
        <v>11206.317589245666</v>
      </c>
      <c r="AK91" s="66">
        <f t="shared" si="14"/>
        <v>11542.507116923036</v>
      </c>
      <c r="AL91" s="66">
        <f t="shared" si="14"/>
        <v>11888.782330430728</v>
      </c>
      <c r="AM91" s="101"/>
      <c r="AN91" s="110"/>
      <c r="AO91" s="66"/>
    </row>
    <row r="92" spans="1:41" x14ac:dyDescent="0.25">
      <c r="A92" s="96"/>
      <c r="B92" s="2"/>
      <c r="D92" s="66"/>
      <c r="E92" s="66"/>
      <c r="F92" s="66"/>
      <c r="G92" s="66"/>
      <c r="H92" s="66"/>
      <c r="J92" s="66"/>
      <c r="N92" s="112" t="s">
        <v>166</v>
      </c>
      <c r="O92" s="194"/>
      <c r="P92" s="113"/>
      <c r="Q92" s="113"/>
      <c r="R92" s="105">
        <f>-R88</f>
        <v>-2666.67</v>
      </c>
      <c r="S92" s="106">
        <f>-S88</f>
        <v>-397.83749999999998</v>
      </c>
      <c r="T92" s="106">
        <f t="shared" ref="T92:AL92" si="15">-T88</f>
        <v>-5341.2495760000002</v>
      </c>
      <c r="U92" s="106">
        <f t="shared" si="15"/>
        <v>0</v>
      </c>
      <c r="V92" s="106">
        <f t="shared" si="15"/>
        <v>0</v>
      </c>
      <c r="W92" s="106">
        <f t="shared" si="15"/>
        <v>-7382.1686206757149</v>
      </c>
      <c r="X92" s="106">
        <f t="shared" si="15"/>
        <v>-461.20269953432626</v>
      </c>
      <c r="Y92" s="106">
        <f t="shared" si="15"/>
        <v>0</v>
      </c>
      <c r="Z92" s="106">
        <f t="shared" si="15"/>
        <v>-2154.1805265020826</v>
      </c>
      <c r="AA92" s="106">
        <f t="shared" si="15"/>
        <v>-4350.2573199369226</v>
      </c>
      <c r="AB92" s="106">
        <f t="shared" si="15"/>
        <v>-3120.0631446129</v>
      </c>
      <c r="AC92" s="106">
        <f t="shared" si="15"/>
        <v>-2888.591556750358</v>
      </c>
      <c r="AD92" s="106">
        <f t="shared" si="15"/>
        <v>-12191.766889074883</v>
      </c>
      <c r="AE92" s="106">
        <f t="shared" si="15"/>
        <v>0</v>
      </c>
      <c r="AF92" s="106">
        <f t="shared" si="15"/>
        <v>-2572.204204807862</v>
      </c>
      <c r="AG92" s="106">
        <f t="shared" si="15"/>
        <v>-9140.4078771066906</v>
      </c>
      <c r="AH92" s="106">
        <f t="shared" si="15"/>
        <v>-5970.0856477655634</v>
      </c>
      <c r="AI92" s="106">
        <f t="shared" si="15"/>
        <v>-2810.7169841070804</v>
      </c>
      <c r="AJ92" s="106">
        <f t="shared" si="15"/>
        <v>0</v>
      </c>
      <c r="AK92" s="106">
        <f t="shared" si="15"/>
        <v>0</v>
      </c>
      <c r="AL92" s="114">
        <f t="shared" si="15"/>
        <v>-178325.97734950052</v>
      </c>
      <c r="AM92" s="101"/>
      <c r="AN92" s="110"/>
      <c r="AO92" s="66"/>
    </row>
    <row r="93" spans="1:41" ht="15.75" thickBot="1" x14ac:dyDescent="0.3">
      <c r="A93" s="96"/>
      <c r="B93" s="2"/>
      <c r="D93" s="66"/>
      <c r="E93" s="66"/>
      <c r="F93" s="66"/>
      <c r="G93" s="66"/>
      <c r="H93" s="66"/>
      <c r="J93" s="66"/>
      <c r="N93" s="115" t="s">
        <v>167</v>
      </c>
      <c r="O93" s="195"/>
      <c r="P93" s="76"/>
      <c r="Q93" s="76"/>
      <c r="R93" s="116">
        <f>SUM(R90:R92)</f>
        <v>54924.860523158401</v>
      </c>
      <c r="S93" s="78">
        <f>SUM(S90:S92)</f>
        <v>61307.029462011553</v>
      </c>
      <c r="T93" s="78">
        <f t="shared" ref="T93:AL93" si="16">SUM(T90:T92)</f>
        <v>62949.186518030299</v>
      </c>
      <c r="U93" s="78">
        <f t="shared" si="16"/>
        <v>70142.095349009614</v>
      </c>
      <c r="V93" s="78">
        <f t="shared" si="16"/>
        <v>77550.791444918301</v>
      </c>
      <c r="W93" s="78">
        <f t="shared" si="16"/>
        <v>77799.579803028537</v>
      </c>
      <c r="X93" s="78">
        <f t="shared" si="16"/>
        <v>85198.262791643734</v>
      </c>
      <c r="Y93" s="78">
        <f t="shared" si="16"/>
        <v>93293.945050437746</v>
      </c>
      <c r="Z93" s="78">
        <f t="shared" si="16"/>
        <v>99478.317250493506</v>
      </c>
      <c r="AA93" s="78">
        <f t="shared" si="16"/>
        <v>103716.76923891116</v>
      </c>
      <c r="AB93" s="78">
        <f t="shared" si="16"/>
        <v>109443.07668190348</v>
      </c>
      <c r="AC93" s="78">
        <f t="shared" si="16"/>
        <v>115666.24683038649</v>
      </c>
      <c r="AD93" s="78">
        <f t="shared" si="16"/>
        <v>112859.59449770197</v>
      </c>
      <c r="AE93" s="78">
        <f t="shared" si="16"/>
        <v>122526.26249078405</v>
      </c>
      <c r="AF93" s="78">
        <f t="shared" si="16"/>
        <v>129910.72631885072</v>
      </c>
      <c r="AG93" s="78">
        <f t="shared" si="16"/>
        <v>131025.68651560482</v>
      </c>
      <c r="AH93" s="78">
        <f t="shared" si="16"/>
        <v>135618.62998391583</v>
      </c>
      <c r="AI93" s="78">
        <f t="shared" si="16"/>
        <v>143687.83298936766</v>
      </c>
      <c r="AJ93" s="78">
        <f t="shared" si="16"/>
        <v>154894.15057861333</v>
      </c>
      <c r="AK93" s="78">
        <f t="shared" si="16"/>
        <v>166436.65769553639</v>
      </c>
      <c r="AL93" s="78">
        <f t="shared" si="16"/>
        <v>-0.53732353341183625</v>
      </c>
      <c r="AM93" s="117"/>
      <c r="AN93" s="118"/>
      <c r="AO93" s="66"/>
    </row>
    <row r="94" spans="1:41" x14ac:dyDescent="0.25">
      <c r="A94" s="96"/>
      <c r="B94" s="2"/>
      <c r="D94" s="66"/>
      <c r="E94" s="66"/>
      <c r="F94" s="66"/>
      <c r="G94" s="66"/>
      <c r="H94" s="66"/>
      <c r="J94" s="66"/>
      <c r="N94" s="119"/>
      <c r="O94" s="119"/>
      <c r="P94" s="68"/>
      <c r="Q94" s="68" t="s">
        <v>168</v>
      </c>
      <c r="R94" s="71">
        <v>1626</v>
      </c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120"/>
      <c r="AN94" s="121"/>
      <c r="AO94" s="66"/>
    </row>
    <row r="95" spans="1:41" ht="15.75" thickBot="1" x14ac:dyDescent="0.3">
      <c r="A95" s="96"/>
      <c r="B95" s="2"/>
      <c r="D95" s="66"/>
      <c r="E95" s="66"/>
      <c r="F95" s="66"/>
      <c r="G95" s="66"/>
      <c r="H95" s="66"/>
      <c r="J95" s="66"/>
      <c r="N95" s="122"/>
      <c r="O95" s="122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123"/>
      <c r="AN95" s="84"/>
      <c r="AO95" s="66"/>
    </row>
    <row r="96" spans="1:41" ht="21" x14ac:dyDescent="0.35">
      <c r="D96" s="66"/>
      <c r="E96" s="66"/>
      <c r="G96" s="66"/>
      <c r="H96" s="84"/>
      <c r="J96" s="84"/>
      <c r="N96" s="124" t="s">
        <v>169</v>
      </c>
      <c r="O96" s="196"/>
      <c r="P96" s="125"/>
      <c r="Q96" s="126"/>
      <c r="R96" s="91">
        <v>2022</v>
      </c>
      <c r="S96" s="92">
        <f>+R96+1</f>
        <v>2023</v>
      </c>
      <c r="T96" s="92">
        <f t="shared" ref="T96:AL96" si="17">+S96+1</f>
        <v>2024</v>
      </c>
      <c r="U96" s="92">
        <f t="shared" si="17"/>
        <v>2025</v>
      </c>
      <c r="V96" s="92">
        <f t="shared" si="17"/>
        <v>2026</v>
      </c>
      <c r="W96" s="92">
        <f t="shared" si="17"/>
        <v>2027</v>
      </c>
      <c r="X96" s="92">
        <f t="shared" si="17"/>
        <v>2028</v>
      </c>
      <c r="Y96" s="92">
        <f t="shared" si="17"/>
        <v>2029</v>
      </c>
      <c r="Z96" s="92">
        <f t="shared" si="17"/>
        <v>2030</v>
      </c>
      <c r="AA96" s="92">
        <f t="shared" si="17"/>
        <v>2031</v>
      </c>
      <c r="AB96" s="92">
        <f t="shared" si="17"/>
        <v>2032</v>
      </c>
      <c r="AC96" s="92">
        <f t="shared" si="17"/>
        <v>2033</v>
      </c>
      <c r="AD96" s="92">
        <f t="shared" si="17"/>
        <v>2034</v>
      </c>
      <c r="AE96" s="92">
        <f t="shared" si="17"/>
        <v>2035</v>
      </c>
      <c r="AF96" s="92">
        <f t="shared" si="17"/>
        <v>2036</v>
      </c>
      <c r="AG96" s="92">
        <f t="shared" si="17"/>
        <v>2037</v>
      </c>
      <c r="AH96" s="92">
        <f t="shared" si="17"/>
        <v>2038</v>
      </c>
      <c r="AI96" s="92">
        <f t="shared" si="17"/>
        <v>2039</v>
      </c>
      <c r="AJ96" s="92">
        <f t="shared" si="17"/>
        <v>2040</v>
      </c>
      <c r="AK96" s="92">
        <f t="shared" si="17"/>
        <v>2041</v>
      </c>
      <c r="AL96" s="93">
        <f t="shared" si="17"/>
        <v>2042</v>
      </c>
      <c r="AM96" s="94" t="s">
        <v>38</v>
      </c>
      <c r="AN96" s="95" t="s">
        <v>158</v>
      </c>
      <c r="AO96" s="127"/>
    </row>
    <row r="97" spans="2:41" x14ac:dyDescent="0.25">
      <c r="N97" s="128" t="s">
        <v>74</v>
      </c>
      <c r="O97" s="197"/>
      <c r="P97" s="129" t="s">
        <v>162</v>
      </c>
      <c r="Q97" s="130"/>
      <c r="R97" s="100">
        <f t="shared" ref="R97:AL97" si="18">SUMIF($A$16:$A$79,$N97,R$16:R$79)</f>
        <v>2594</v>
      </c>
      <c r="S97" s="66">
        <f t="shared" si="18"/>
        <v>0</v>
      </c>
      <c r="T97" s="66">
        <f t="shared" si="18"/>
        <v>3292</v>
      </c>
      <c r="U97" s="66">
        <f t="shared" si="18"/>
        <v>0</v>
      </c>
      <c r="V97" s="66">
        <f t="shared" si="18"/>
        <v>0</v>
      </c>
      <c r="W97" s="66">
        <f t="shared" si="18"/>
        <v>51020</v>
      </c>
      <c r="X97" s="66">
        <f t="shared" si="18"/>
        <v>3292</v>
      </c>
      <c r="Y97" s="66">
        <f t="shared" si="18"/>
        <v>0</v>
      </c>
      <c r="Z97" s="66">
        <f t="shared" si="18"/>
        <v>0</v>
      </c>
      <c r="AA97" s="66">
        <f t="shared" si="18"/>
        <v>35093</v>
      </c>
      <c r="AB97" s="66">
        <f t="shared" si="18"/>
        <v>5041</v>
      </c>
      <c r="AC97" s="66">
        <f t="shared" si="18"/>
        <v>0</v>
      </c>
      <c r="AD97" s="66">
        <f t="shared" si="18"/>
        <v>0</v>
      </c>
      <c r="AE97" s="66">
        <f t="shared" si="18"/>
        <v>0</v>
      </c>
      <c r="AF97" s="66">
        <f t="shared" si="18"/>
        <v>51261</v>
      </c>
      <c r="AG97" s="66">
        <f t="shared" si="18"/>
        <v>60399</v>
      </c>
      <c r="AH97" s="66">
        <f t="shared" si="18"/>
        <v>0</v>
      </c>
      <c r="AI97" s="66">
        <f t="shared" si="18"/>
        <v>0</v>
      </c>
      <c r="AJ97" s="66">
        <f t="shared" si="18"/>
        <v>3292</v>
      </c>
      <c r="AK97" s="66">
        <f t="shared" si="18"/>
        <v>56973</v>
      </c>
      <c r="AL97" s="66">
        <f t="shared" si="18"/>
        <v>38697</v>
      </c>
      <c r="AM97" s="101">
        <f t="shared" si="12"/>
        <v>308360</v>
      </c>
      <c r="AN97" s="102"/>
    </row>
    <row r="98" spans="2:41" x14ac:dyDescent="0.25">
      <c r="J98" s="66"/>
      <c r="N98" s="131" t="s">
        <v>74</v>
      </c>
      <c r="O98" s="198"/>
      <c r="P98" s="132" t="s">
        <v>163</v>
      </c>
      <c r="Q98" s="132"/>
      <c r="R98" s="105">
        <f>+R97*(1+$C$82)^R$82</f>
        <v>2671.82</v>
      </c>
      <c r="S98" s="106">
        <f t="shared" ref="S98:AK98" si="19">+S97*(1+$C$82)^S$82</f>
        <v>0</v>
      </c>
      <c r="T98" s="106">
        <f t="shared" si="19"/>
        <v>3597.2572839999998</v>
      </c>
      <c r="U98" s="106">
        <f t="shared" si="19"/>
        <v>0</v>
      </c>
      <c r="V98" s="106">
        <f t="shared" si="19"/>
        <v>0</v>
      </c>
      <c r="W98" s="106">
        <f t="shared" si="19"/>
        <v>60920.548168909576</v>
      </c>
      <c r="X98" s="106">
        <f t="shared" si="19"/>
        <v>4048.7447649786718</v>
      </c>
      <c r="Y98" s="106">
        <f t="shared" si="19"/>
        <v>0</v>
      </c>
      <c r="Z98" s="106">
        <f t="shared" si="19"/>
        <v>0</v>
      </c>
      <c r="AA98" s="106">
        <f t="shared" si="19"/>
        <v>47162.057500323266</v>
      </c>
      <c r="AB98" s="106">
        <f t="shared" si="19"/>
        <v>6977.9229423219294</v>
      </c>
      <c r="AC98" s="106">
        <f t="shared" si="19"/>
        <v>0</v>
      </c>
      <c r="AD98" s="106">
        <f t="shared" si="19"/>
        <v>0</v>
      </c>
      <c r="AE98" s="106">
        <f t="shared" si="19"/>
        <v>0</v>
      </c>
      <c r="AF98" s="106">
        <f t="shared" si="19"/>
        <v>79862.96774237178</v>
      </c>
      <c r="AG98" s="106">
        <f t="shared" si="19"/>
        <v>96922.664215127646</v>
      </c>
      <c r="AH98" s="106">
        <f t="shared" si="19"/>
        <v>0</v>
      </c>
      <c r="AI98" s="106">
        <f t="shared" si="19"/>
        <v>0</v>
      </c>
      <c r="AJ98" s="106">
        <f t="shared" si="19"/>
        <v>5772.5419267298139</v>
      </c>
      <c r="AK98" s="106">
        <f t="shared" si="19"/>
        <v>102899.57537282049</v>
      </c>
      <c r="AL98" s="106">
        <f>+AL97*(1+$C$82)^AL$82</f>
        <v>71987.819041442344</v>
      </c>
      <c r="AM98" s="107">
        <f t="shared" si="12"/>
        <v>480152.09895902558</v>
      </c>
      <c r="AN98" s="108">
        <f>+AM98/20</f>
        <v>24007.60494795128</v>
      </c>
    </row>
    <row r="99" spans="2:41" x14ac:dyDescent="0.25">
      <c r="B99" s="133"/>
      <c r="C99" s="82"/>
      <c r="N99" s="134"/>
      <c r="R99" s="135"/>
      <c r="AM99" s="101"/>
      <c r="AN99" s="136"/>
    </row>
    <row r="100" spans="2:41" x14ac:dyDescent="0.25">
      <c r="B100" s="133"/>
      <c r="C100" s="82"/>
      <c r="N100" s="111" t="s">
        <v>164</v>
      </c>
      <c r="O100" s="137"/>
      <c r="R100" s="100">
        <v>36125</v>
      </c>
      <c r="S100" s="66">
        <f>+R103</f>
        <v>49030.364849767931</v>
      </c>
      <c r="T100" s="66">
        <f t="shared" ref="T100:AL100" si="20">+S103</f>
        <v>65074.865245028901</v>
      </c>
      <c r="U100" s="66">
        <f t="shared" si="20"/>
        <v>78003.443368147695</v>
      </c>
      <c r="V100" s="66">
        <f t="shared" si="20"/>
        <v>95025.053837480053</v>
      </c>
      <c r="W100" s="66">
        <f t="shared" si="20"/>
        <v>112557.31262089239</v>
      </c>
      <c r="X100" s="66">
        <f t="shared" si="20"/>
        <v>69694.990998897527</v>
      </c>
      <c r="Y100" s="66">
        <f t="shared" si="20"/>
        <v>84246.21957724099</v>
      </c>
      <c r="Z100" s="66">
        <f t="shared" si="20"/>
        <v>103404.1921208628</v>
      </c>
      <c r="AA100" s="66">
        <f t="shared" si="20"/>
        <v>123136.90384079327</v>
      </c>
      <c r="AB100" s="66">
        <f t="shared" si="20"/>
        <v>96299.539411998398</v>
      </c>
      <c r="AC100" s="66">
        <f t="shared" si="20"/>
        <v>110256.05033335069</v>
      </c>
      <c r="AD100" s="66">
        <f t="shared" si="20"/>
        <v>131818.51721293514</v>
      </c>
      <c r="AE100" s="66">
        <f t="shared" si="20"/>
        <v>154027.85809890713</v>
      </c>
      <c r="AF100" s="66">
        <f t="shared" si="20"/>
        <v>176903.4792114583</v>
      </c>
      <c r="AG100" s="66">
        <f t="shared" si="20"/>
        <v>120602.40121501422</v>
      </c>
      <c r="AH100" s="66">
        <f t="shared" si="20"/>
        <v>47948.48343819211</v>
      </c>
      <c r="AI100" s="66">
        <f t="shared" si="20"/>
        <v>72945.292269646801</v>
      </c>
      <c r="AJ100" s="66">
        <f t="shared" si="20"/>
        <v>98692.005366045138</v>
      </c>
      <c r="AK100" s="66">
        <f t="shared" si="20"/>
        <v>119438.57792860561</v>
      </c>
      <c r="AL100" s="66">
        <f t="shared" si="20"/>
        <v>43853.690479754121</v>
      </c>
      <c r="AM100" s="101"/>
      <c r="AN100" s="110"/>
    </row>
    <row r="101" spans="2:41" x14ac:dyDescent="0.25">
      <c r="B101" s="133"/>
      <c r="C101" s="82"/>
      <c r="N101" s="109" t="s">
        <v>165</v>
      </c>
      <c r="O101" s="122"/>
      <c r="R101" s="100">
        <v>15577.184849767931</v>
      </c>
      <c r="S101" s="66">
        <f>+R101*(1+$C$82)</f>
        <v>16044.50039526097</v>
      </c>
      <c r="T101" s="66">
        <f t="shared" ref="T101:AL101" si="21">+S101*(1+$C$82)</f>
        <v>16525.835407118801</v>
      </c>
      <c r="U101" s="66">
        <f t="shared" si="21"/>
        <v>17021.610469332365</v>
      </c>
      <c r="V101" s="66">
        <f t="shared" si="21"/>
        <v>17532.258783412337</v>
      </c>
      <c r="W101" s="66">
        <f t="shared" si="21"/>
        <v>18058.226546914706</v>
      </c>
      <c r="X101" s="66">
        <f t="shared" si="21"/>
        <v>18599.973343322148</v>
      </c>
      <c r="Y101" s="66">
        <f t="shared" si="21"/>
        <v>19157.972543621814</v>
      </c>
      <c r="Z101" s="66">
        <f t="shared" si="21"/>
        <v>19732.71171993047</v>
      </c>
      <c r="AA101" s="66">
        <f t="shared" si="21"/>
        <v>20324.693071528385</v>
      </c>
      <c r="AB101" s="66">
        <f t="shared" si="21"/>
        <v>20934.433863674236</v>
      </c>
      <c r="AC101" s="66">
        <f t="shared" si="21"/>
        <v>21562.466879584463</v>
      </c>
      <c r="AD101" s="66">
        <f t="shared" si="21"/>
        <v>22209.340885971997</v>
      </c>
      <c r="AE101" s="66">
        <f t="shared" si="21"/>
        <v>22875.621112551158</v>
      </c>
      <c r="AF101" s="66">
        <f t="shared" si="21"/>
        <v>23561.889745927692</v>
      </c>
      <c r="AG101" s="66">
        <f t="shared" si="21"/>
        <v>24268.746438305523</v>
      </c>
      <c r="AH101" s="66">
        <f t="shared" si="21"/>
        <v>24996.808831454688</v>
      </c>
      <c r="AI101" s="66">
        <f t="shared" si="21"/>
        <v>25746.713096398329</v>
      </c>
      <c r="AJ101" s="66">
        <f t="shared" si="21"/>
        <v>26519.114489290281</v>
      </c>
      <c r="AK101" s="66">
        <f t="shared" si="21"/>
        <v>27314.687923968992</v>
      </c>
      <c r="AL101" s="66">
        <f t="shared" si="21"/>
        <v>28134.128561688063</v>
      </c>
      <c r="AM101" s="101"/>
      <c r="AN101" s="110"/>
    </row>
    <row r="102" spans="2:41" x14ac:dyDescent="0.25">
      <c r="B102" s="133"/>
      <c r="C102" s="82"/>
      <c r="N102" s="112" t="s">
        <v>166</v>
      </c>
      <c r="O102" s="194"/>
      <c r="P102" s="113"/>
      <c r="Q102" s="113"/>
      <c r="R102" s="105">
        <f>-R98</f>
        <v>-2671.82</v>
      </c>
      <c r="S102" s="106">
        <f>-S98</f>
        <v>0</v>
      </c>
      <c r="T102" s="106">
        <f t="shared" ref="T102:AL102" si="22">-T98</f>
        <v>-3597.2572839999998</v>
      </c>
      <c r="U102" s="106">
        <f t="shared" si="22"/>
        <v>0</v>
      </c>
      <c r="V102" s="106">
        <f t="shared" si="22"/>
        <v>0</v>
      </c>
      <c r="W102" s="106">
        <f t="shared" si="22"/>
        <v>-60920.548168909576</v>
      </c>
      <c r="X102" s="106">
        <f t="shared" si="22"/>
        <v>-4048.7447649786718</v>
      </c>
      <c r="Y102" s="106">
        <f t="shared" si="22"/>
        <v>0</v>
      </c>
      <c r="Z102" s="106">
        <f t="shared" si="22"/>
        <v>0</v>
      </c>
      <c r="AA102" s="106">
        <f t="shared" si="22"/>
        <v>-47162.057500323266</v>
      </c>
      <c r="AB102" s="106">
        <f t="shared" si="22"/>
        <v>-6977.9229423219294</v>
      </c>
      <c r="AC102" s="106">
        <f t="shared" si="22"/>
        <v>0</v>
      </c>
      <c r="AD102" s="106">
        <f t="shared" si="22"/>
        <v>0</v>
      </c>
      <c r="AE102" s="106">
        <f t="shared" si="22"/>
        <v>0</v>
      </c>
      <c r="AF102" s="106">
        <f t="shared" si="22"/>
        <v>-79862.96774237178</v>
      </c>
      <c r="AG102" s="106">
        <f t="shared" si="22"/>
        <v>-96922.664215127646</v>
      </c>
      <c r="AH102" s="106">
        <f t="shared" si="22"/>
        <v>0</v>
      </c>
      <c r="AI102" s="106">
        <f t="shared" si="22"/>
        <v>0</v>
      </c>
      <c r="AJ102" s="106">
        <f t="shared" si="22"/>
        <v>-5772.5419267298139</v>
      </c>
      <c r="AK102" s="106">
        <f t="shared" si="22"/>
        <v>-102899.57537282049</v>
      </c>
      <c r="AL102" s="114">
        <f t="shared" si="22"/>
        <v>-71987.819041442344</v>
      </c>
      <c r="AM102" s="101"/>
      <c r="AN102" s="110"/>
    </row>
    <row r="103" spans="2:41" ht="15.75" thickBot="1" x14ac:dyDescent="0.3">
      <c r="B103" s="133"/>
      <c r="C103" s="82"/>
      <c r="N103" s="115" t="s">
        <v>167</v>
      </c>
      <c r="O103" s="195"/>
      <c r="P103" s="76"/>
      <c r="Q103" s="76"/>
      <c r="R103" s="116">
        <f>SUM(R100:R102)</f>
        <v>49030.364849767931</v>
      </c>
      <c r="S103" s="78">
        <f>SUM(S100:S102)</f>
        <v>65074.865245028901</v>
      </c>
      <c r="T103" s="78">
        <f t="shared" ref="T103:AL103" si="23">SUM(T100:T102)</f>
        <v>78003.443368147695</v>
      </c>
      <c r="U103" s="78">
        <f t="shared" si="23"/>
        <v>95025.053837480053</v>
      </c>
      <c r="V103" s="78">
        <f t="shared" si="23"/>
        <v>112557.31262089239</v>
      </c>
      <c r="W103" s="78">
        <f t="shared" si="23"/>
        <v>69694.990998897527</v>
      </c>
      <c r="X103" s="78">
        <f t="shared" si="23"/>
        <v>84246.21957724099</v>
      </c>
      <c r="Y103" s="78">
        <f t="shared" si="23"/>
        <v>103404.1921208628</v>
      </c>
      <c r="Z103" s="78">
        <f t="shared" si="23"/>
        <v>123136.90384079327</v>
      </c>
      <c r="AA103" s="78">
        <f t="shared" si="23"/>
        <v>96299.539411998398</v>
      </c>
      <c r="AB103" s="78">
        <f t="shared" si="23"/>
        <v>110256.05033335069</v>
      </c>
      <c r="AC103" s="78">
        <f t="shared" si="23"/>
        <v>131818.51721293514</v>
      </c>
      <c r="AD103" s="78">
        <f t="shared" si="23"/>
        <v>154027.85809890713</v>
      </c>
      <c r="AE103" s="78">
        <f t="shared" si="23"/>
        <v>176903.4792114583</v>
      </c>
      <c r="AF103" s="78">
        <f t="shared" si="23"/>
        <v>120602.40121501422</v>
      </c>
      <c r="AG103" s="78">
        <f t="shared" si="23"/>
        <v>47948.48343819211</v>
      </c>
      <c r="AH103" s="78">
        <f t="shared" si="23"/>
        <v>72945.292269646801</v>
      </c>
      <c r="AI103" s="78">
        <f t="shared" si="23"/>
        <v>98692.005366045138</v>
      </c>
      <c r="AJ103" s="78">
        <f t="shared" si="23"/>
        <v>119438.57792860561</v>
      </c>
      <c r="AK103" s="78">
        <f t="shared" si="23"/>
        <v>43853.690479754121</v>
      </c>
      <c r="AL103" s="78">
        <f t="shared" si="23"/>
        <v>-1.6007106751203537E-10</v>
      </c>
      <c r="AM103" s="117"/>
      <c r="AN103" s="118"/>
    </row>
    <row r="104" spans="2:41" x14ac:dyDescent="0.25">
      <c r="Q104" t="s">
        <v>168</v>
      </c>
      <c r="R104">
        <v>18305</v>
      </c>
    </row>
    <row r="105" spans="2:41" ht="15.75" thickBot="1" x14ac:dyDescent="0.3">
      <c r="B105" s="133"/>
      <c r="C105" s="82"/>
      <c r="N105" s="137"/>
      <c r="O105" s="137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123"/>
      <c r="AN105" s="84"/>
    </row>
    <row r="106" spans="2:41" ht="21" x14ac:dyDescent="0.35">
      <c r="B106" s="133"/>
      <c r="C106" s="82"/>
      <c r="N106" s="138" t="s">
        <v>170</v>
      </c>
      <c r="O106" s="199"/>
      <c r="P106" s="139"/>
      <c r="Q106" s="140"/>
      <c r="R106" s="91">
        <v>2022</v>
      </c>
      <c r="S106" s="92">
        <f>+R106+1</f>
        <v>2023</v>
      </c>
      <c r="T106" s="92">
        <f t="shared" ref="T106:AL106" si="24">+S106+1</f>
        <v>2024</v>
      </c>
      <c r="U106" s="92">
        <f t="shared" si="24"/>
        <v>2025</v>
      </c>
      <c r="V106" s="92">
        <f t="shared" si="24"/>
        <v>2026</v>
      </c>
      <c r="W106" s="92">
        <f t="shared" si="24"/>
        <v>2027</v>
      </c>
      <c r="X106" s="92">
        <f t="shared" si="24"/>
        <v>2028</v>
      </c>
      <c r="Y106" s="92">
        <f t="shared" si="24"/>
        <v>2029</v>
      </c>
      <c r="Z106" s="92">
        <f t="shared" si="24"/>
        <v>2030</v>
      </c>
      <c r="AA106" s="92">
        <f t="shared" si="24"/>
        <v>2031</v>
      </c>
      <c r="AB106" s="92">
        <f t="shared" si="24"/>
        <v>2032</v>
      </c>
      <c r="AC106" s="92">
        <f t="shared" si="24"/>
        <v>2033</v>
      </c>
      <c r="AD106" s="92">
        <f t="shared" si="24"/>
        <v>2034</v>
      </c>
      <c r="AE106" s="92">
        <f t="shared" si="24"/>
        <v>2035</v>
      </c>
      <c r="AF106" s="92">
        <f t="shared" si="24"/>
        <v>2036</v>
      </c>
      <c r="AG106" s="92">
        <f t="shared" si="24"/>
        <v>2037</v>
      </c>
      <c r="AH106" s="92">
        <f t="shared" si="24"/>
        <v>2038</v>
      </c>
      <c r="AI106" s="92">
        <f t="shared" si="24"/>
        <v>2039</v>
      </c>
      <c r="AJ106" s="92">
        <f t="shared" si="24"/>
        <v>2040</v>
      </c>
      <c r="AK106" s="92">
        <f t="shared" si="24"/>
        <v>2041</v>
      </c>
      <c r="AL106" s="93">
        <f t="shared" si="24"/>
        <v>2042</v>
      </c>
      <c r="AM106" s="94" t="s">
        <v>38</v>
      </c>
      <c r="AN106" s="95" t="s">
        <v>158</v>
      </c>
    </row>
    <row r="107" spans="2:41" x14ac:dyDescent="0.25">
      <c r="C107" s="81"/>
      <c r="N107" s="141" t="s">
        <v>106</v>
      </c>
      <c r="O107" s="200"/>
      <c r="P107" s="142" t="s">
        <v>162</v>
      </c>
      <c r="Q107" s="143"/>
      <c r="R107" s="100">
        <f t="shared" ref="R107:AL107" si="25">SUMIF($A$16:$A$79,$N107,R$16:R$79)</f>
        <v>0</v>
      </c>
      <c r="S107" s="66">
        <f t="shared" si="25"/>
        <v>0</v>
      </c>
      <c r="T107" s="66">
        <f t="shared" si="25"/>
        <v>0</v>
      </c>
      <c r="U107" s="66">
        <f t="shared" si="25"/>
        <v>0</v>
      </c>
      <c r="V107" s="66">
        <f t="shared" si="25"/>
        <v>0</v>
      </c>
      <c r="W107" s="66">
        <f t="shared" si="25"/>
        <v>0</v>
      </c>
      <c r="X107" s="66">
        <f t="shared" si="25"/>
        <v>0</v>
      </c>
      <c r="Y107" s="66">
        <f t="shared" si="25"/>
        <v>0</v>
      </c>
      <c r="Z107" s="66">
        <f t="shared" si="25"/>
        <v>0</v>
      </c>
      <c r="AA107" s="66">
        <f t="shared" si="25"/>
        <v>8500</v>
      </c>
      <c r="AB107" s="66">
        <f t="shared" si="25"/>
        <v>0</v>
      </c>
      <c r="AC107" s="66">
        <f t="shared" si="25"/>
        <v>0</v>
      </c>
      <c r="AD107" s="66">
        <f t="shared" si="25"/>
        <v>0</v>
      </c>
      <c r="AE107" s="66">
        <f t="shared" si="25"/>
        <v>0</v>
      </c>
      <c r="AF107" s="66">
        <f t="shared" si="25"/>
        <v>0</v>
      </c>
      <c r="AG107" s="66">
        <f t="shared" si="25"/>
        <v>32368</v>
      </c>
      <c r="AH107" s="66">
        <f t="shared" si="25"/>
        <v>0</v>
      </c>
      <c r="AI107" s="66">
        <f t="shared" si="25"/>
        <v>0</v>
      </c>
      <c r="AJ107" s="66">
        <f t="shared" si="25"/>
        <v>0</v>
      </c>
      <c r="AK107" s="66">
        <f t="shared" si="25"/>
        <v>0</v>
      </c>
      <c r="AL107" s="66">
        <f t="shared" si="25"/>
        <v>0</v>
      </c>
      <c r="AM107" s="101">
        <f t="shared" si="12"/>
        <v>40868</v>
      </c>
      <c r="AN107" s="102"/>
    </row>
    <row r="108" spans="2:41" x14ac:dyDescent="0.25">
      <c r="D108" s="83"/>
      <c r="E108" s="83"/>
      <c r="F108" s="83"/>
      <c r="G108" s="83"/>
      <c r="I108" s="83"/>
      <c r="N108" s="144" t="s">
        <v>106</v>
      </c>
      <c r="O108" s="201"/>
      <c r="P108" s="145" t="s">
        <v>163</v>
      </c>
      <c r="Q108" s="145"/>
      <c r="R108" s="105">
        <f>+R107*(1+$C$82)^R$82</f>
        <v>0</v>
      </c>
      <c r="S108" s="106">
        <f t="shared" ref="S108:AK108" si="26">+S107*(1+$C$82)^S$82</f>
        <v>0</v>
      </c>
      <c r="T108" s="106">
        <f t="shared" si="26"/>
        <v>0</v>
      </c>
      <c r="U108" s="106">
        <f t="shared" si="26"/>
        <v>0</v>
      </c>
      <c r="V108" s="106">
        <f t="shared" si="26"/>
        <v>0</v>
      </c>
      <c r="W108" s="106">
        <f t="shared" si="26"/>
        <v>0</v>
      </c>
      <c r="X108" s="106">
        <f t="shared" si="26"/>
        <v>0</v>
      </c>
      <c r="Y108" s="106">
        <f t="shared" si="26"/>
        <v>0</v>
      </c>
      <c r="Z108" s="106">
        <f t="shared" si="26"/>
        <v>0</v>
      </c>
      <c r="AA108" s="106">
        <f t="shared" si="26"/>
        <v>11423.289224425034</v>
      </c>
      <c r="AB108" s="106">
        <f t="shared" si="26"/>
        <v>0</v>
      </c>
      <c r="AC108" s="106">
        <f t="shared" si="26"/>
        <v>0</v>
      </c>
      <c r="AD108" s="106">
        <f t="shared" si="26"/>
        <v>0</v>
      </c>
      <c r="AE108" s="106">
        <f t="shared" si="26"/>
        <v>0</v>
      </c>
      <c r="AF108" s="106">
        <f t="shared" si="26"/>
        <v>0</v>
      </c>
      <c r="AG108" s="106">
        <f t="shared" si="26"/>
        <v>51941.138020749539</v>
      </c>
      <c r="AH108" s="106">
        <f t="shared" si="26"/>
        <v>0</v>
      </c>
      <c r="AI108" s="106">
        <f t="shared" si="26"/>
        <v>0</v>
      </c>
      <c r="AJ108" s="106">
        <f t="shared" si="26"/>
        <v>0</v>
      </c>
      <c r="AK108" s="106">
        <f t="shared" si="26"/>
        <v>0</v>
      </c>
      <c r="AL108" s="114">
        <f>+AL107*(1+$C$82)^AL$82</f>
        <v>0</v>
      </c>
      <c r="AM108" s="107">
        <f t="shared" si="12"/>
        <v>63364.427245174571</v>
      </c>
      <c r="AN108" s="108">
        <f>+AM108/20</f>
        <v>3168.2213622587287</v>
      </c>
      <c r="AO108" s="146"/>
    </row>
    <row r="109" spans="2:41" x14ac:dyDescent="0.25">
      <c r="D109" s="83"/>
      <c r="E109" s="83"/>
      <c r="F109" s="83"/>
      <c r="G109" s="83"/>
      <c r="I109" s="83"/>
      <c r="N109" s="109"/>
      <c r="O109" s="122"/>
      <c r="R109" s="100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101"/>
      <c r="AN109" s="110"/>
      <c r="AO109" s="146"/>
    </row>
    <row r="110" spans="2:41" x14ac:dyDescent="0.25">
      <c r="D110" s="83"/>
      <c r="E110" s="83"/>
      <c r="F110" s="83"/>
      <c r="G110" s="83"/>
      <c r="I110" s="83"/>
      <c r="N110" s="111" t="s">
        <v>164</v>
      </c>
      <c r="O110" s="137"/>
      <c r="R110" s="100">
        <v>-886</v>
      </c>
      <c r="S110" s="66">
        <f>+R113</f>
        <v>1354.526536771079</v>
      </c>
      <c r="T110" s="66">
        <f t="shared" ref="T110:AL110" si="27">+S113</f>
        <v>3662.2688696452906</v>
      </c>
      <c r="U110" s="66">
        <f t="shared" si="27"/>
        <v>6039.2434725057283</v>
      </c>
      <c r="V110" s="66">
        <f t="shared" si="27"/>
        <v>8487.5273134519794</v>
      </c>
      <c r="W110" s="66">
        <f t="shared" si="27"/>
        <v>11009.259669626619</v>
      </c>
      <c r="X110" s="66">
        <f t="shared" si="27"/>
        <v>13606.643996486499</v>
      </c>
      <c r="Y110" s="66">
        <f t="shared" si="27"/>
        <v>16281.949853152173</v>
      </c>
      <c r="Z110" s="66">
        <f t="shared" si="27"/>
        <v>19037.514885517819</v>
      </c>
      <c r="AA110" s="66">
        <f t="shared" si="27"/>
        <v>21875.746868854436</v>
      </c>
      <c r="AB110" s="66">
        <f t="shared" si="27"/>
        <v>13375.836587266114</v>
      </c>
      <c r="AC110" s="66">
        <f t="shared" si="27"/>
        <v>16386.916898387928</v>
      </c>
      <c r="AD110" s="66">
        <f t="shared" si="27"/>
        <v>19488.329618843396</v>
      </c>
      <c r="AE110" s="66">
        <f t="shared" si="27"/>
        <v>22682.784720912528</v>
      </c>
      <c r="AF110" s="66">
        <f t="shared" si="27"/>
        <v>25973.073476043737</v>
      </c>
      <c r="AG110" s="66">
        <f t="shared" si="27"/>
        <v>29362.070893828881</v>
      </c>
      <c r="AH110" s="66">
        <f t="shared" si="27"/>
        <v>-19088.399786601956</v>
      </c>
      <c r="AI110" s="66">
        <f t="shared" si="27"/>
        <v>-15493.012426073697</v>
      </c>
      <c r="AJ110" s="66">
        <f t="shared" si="27"/>
        <v>-11789.76344472959</v>
      </c>
      <c r="AK110" s="66">
        <f t="shared" si="27"/>
        <v>-7975.4169939451585</v>
      </c>
      <c r="AL110" s="66">
        <f t="shared" si="27"/>
        <v>-4046.640149637195</v>
      </c>
      <c r="AM110" s="101"/>
      <c r="AN110" s="110"/>
      <c r="AO110" s="146"/>
    </row>
    <row r="111" spans="2:41" x14ac:dyDescent="0.25">
      <c r="D111" s="83"/>
      <c r="E111" s="83"/>
      <c r="F111" s="83"/>
      <c r="G111" s="83"/>
      <c r="I111" s="83"/>
      <c r="N111" s="109" t="s">
        <v>165</v>
      </c>
      <c r="O111" s="122"/>
      <c r="R111" s="100">
        <v>2240.526536771079</v>
      </c>
      <c r="S111" s="66">
        <f>+R111*(1+$C$82)</f>
        <v>2307.7423328742116</v>
      </c>
      <c r="T111" s="66">
        <f t="shared" ref="T111:AL111" si="28">+S111*(1+$C$82)</f>
        <v>2376.9746028604382</v>
      </c>
      <c r="U111" s="66">
        <f t="shared" si="28"/>
        <v>2448.2838409462515</v>
      </c>
      <c r="V111" s="66">
        <f t="shared" si="28"/>
        <v>2521.7323561746393</v>
      </c>
      <c r="W111" s="66">
        <f t="shared" si="28"/>
        <v>2597.3843268598785</v>
      </c>
      <c r="X111" s="66">
        <f t="shared" si="28"/>
        <v>2675.305856665675</v>
      </c>
      <c r="Y111" s="66">
        <f t="shared" si="28"/>
        <v>2755.5650323656455</v>
      </c>
      <c r="Z111" s="66">
        <f t="shared" si="28"/>
        <v>2838.231983336615</v>
      </c>
      <c r="AA111" s="66">
        <f t="shared" si="28"/>
        <v>2923.3789428367136</v>
      </c>
      <c r="AB111" s="66">
        <f t="shared" si="28"/>
        <v>3011.0803111218152</v>
      </c>
      <c r="AC111" s="66">
        <f t="shared" si="28"/>
        <v>3101.4127204554698</v>
      </c>
      <c r="AD111" s="66">
        <f t="shared" si="28"/>
        <v>3194.4551020691338</v>
      </c>
      <c r="AE111" s="66">
        <f t="shared" si="28"/>
        <v>3290.2887551312078</v>
      </c>
      <c r="AF111" s="66">
        <f t="shared" si="28"/>
        <v>3388.9974177851441</v>
      </c>
      <c r="AG111" s="66">
        <f t="shared" si="28"/>
        <v>3490.6673403186983</v>
      </c>
      <c r="AH111" s="66">
        <f t="shared" si="28"/>
        <v>3595.3873605282593</v>
      </c>
      <c r="AI111" s="66">
        <f t="shared" si="28"/>
        <v>3703.2489813441071</v>
      </c>
      <c r="AJ111" s="66">
        <f t="shared" si="28"/>
        <v>3814.3464507844305</v>
      </c>
      <c r="AK111" s="66">
        <f t="shared" si="28"/>
        <v>3928.7768443079635</v>
      </c>
      <c r="AL111" s="66">
        <f t="shared" si="28"/>
        <v>4046.6401496372027</v>
      </c>
      <c r="AM111" s="101"/>
      <c r="AN111" s="110"/>
      <c r="AO111" s="146"/>
    </row>
    <row r="112" spans="2:41" x14ac:dyDescent="0.25">
      <c r="D112" s="83"/>
      <c r="E112" s="83"/>
      <c r="F112" s="83"/>
      <c r="G112" s="83"/>
      <c r="I112" s="83"/>
      <c r="N112" s="112" t="s">
        <v>166</v>
      </c>
      <c r="O112" s="194"/>
      <c r="P112" s="113"/>
      <c r="Q112" s="113"/>
      <c r="R112" s="105">
        <f>-R108</f>
        <v>0</v>
      </c>
      <c r="S112" s="106">
        <f>-S108</f>
        <v>0</v>
      </c>
      <c r="T112" s="106">
        <f t="shared" ref="T112:AL112" si="29">-T108</f>
        <v>0</v>
      </c>
      <c r="U112" s="106">
        <f t="shared" si="29"/>
        <v>0</v>
      </c>
      <c r="V112" s="106">
        <f t="shared" si="29"/>
        <v>0</v>
      </c>
      <c r="W112" s="106">
        <f t="shared" si="29"/>
        <v>0</v>
      </c>
      <c r="X112" s="106">
        <f t="shared" si="29"/>
        <v>0</v>
      </c>
      <c r="Y112" s="106">
        <f t="shared" si="29"/>
        <v>0</v>
      </c>
      <c r="Z112" s="106">
        <f t="shared" si="29"/>
        <v>0</v>
      </c>
      <c r="AA112" s="106">
        <f t="shared" si="29"/>
        <v>-11423.289224425034</v>
      </c>
      <c r="AB112" s="106">
        <f t="shared" si="29"/>
        <v>0</v>
      </c>
      <c r="AC112" s="106">
        <f t="shared" si="29"/>
        <v>0</v>
      </c>
      <c r="AD112" s="106">
        <f t="shared" si="29"/>
        <v>0</v>
      </c>
      <c r="AE112" s="106">
        <f t="shared" si="29"/>
        <v>0</v>
      </c>
      <c r="AF112" s="106">
        <f t="shared" si="29"/>
        <v>0</v>
      </c>
      <c r="AG112" s="106">
        <f t="shared" si="29"/>
        <v>-51941.138020749539</v>
      </c>
      <c r="AH112" s="106">
        <f t="shared" si="29"/>
        <v>0</v>
      </c>
      <c r="AI112" s="106">
        <f t="shared" si="29"/>
        <v>0</v>
      </c>
      <c r="AJ112" s="106">
        <f t="shared" si="29"/>
        <v>0</v>
      </c>
      <c r="AK112" s="106">
        <f t="shared" si="29"/>
        <v>0</v>
      </c>
      <c r="AL112" s="114">
        <f t="shared" si="29"/>
        <v>0</v>
      </c>
      <c r="AM112" s="101"/>
      <c r="AN112" s="110"/>
      <c r="AO112" s="146"/>
    </row>
    <row r="113" spans="3:41" ht="15.75" thickBot="1" x14ac:dyDescent="0.3">
      <c r="D113" s="83"/>
      <c r="E113" s="83"/>
      <c r="F113" s="83"/>
      <c r="G113" s="83"/>
      <c r="I113" s="83"/>
      <c r="N113" s="115" t="s">
        <v>167</v>
      </c>
      <c r="O113" s="195"/>
      <c r="P113" s="76"/>
      <c r="Q113" s="76"/>
      <c r="R113" s="116">
        <f>SUM(R110:R112)</f>
        <v>1354.526536771079</v>
      </c>
      <c r="S113" s="78">
        <f>SUM(S110:S112)</f>
        <v>3662.2688696452906</v>
      </c>
      <c r="T113" s="78">
        <f t="shared" ref="T113:AL113" si="30">SUM(T110:T112)</f>
        <v>6039.2434725057283</v>
      </c>
      <c r="U113" s="78">
        <f t="shared" si="30"/>
        <v>8487.5273134519794</v>
      </c>
      <c r="V113" s="78">
        <f t="shared" si="30"/>
        <v>11009.259669626619</v>
      </c>
      <c r="W113" s="78">
        <f t="shared" si="30"/>
        <v>13606.643996486499</v>
      </c>
      <c r="X113" s="78">
        <f t="shared" si="30"/>
        <v>16281.949853152173</v>
      </c>
      <c r="Y113" s="78">
        <f t="shared" si="30"/>
        <v>19037.514885517819</v>
      </c>
      <c r="Z113" s="78">
        <f t="shared" si="30"/>
        <v>21875.746868854436</v>
      </c>
      <c r="AA113" s="78">
        <f t="shared" si="30"/>
        <v>13375.836587266114</v>
      </c>
      <c r="AB113" s="78">
        <f t="shared" si="30"/>
        <v>16386.916898387928</v>
      </c>
      <c r="AC113" s="78">
        <f t="shared" si="30"/>
        <v>19488.329618843396</v>
      </c>
      <c r="AD113" s="78">
        <f t="shared" si="30"/>
        <v>22682.784720912528</v>
      </c>
      <c r="AE113" s="78">
        <f t="shared" si="30"/>
        <v>25973.073476043737</v>
      </c>
      <c r="AF113" s="78">
        <f t="shared" si="30"/>
        <v>29362.070893828881</v>
      </c>
      <c r="AG113" s="78">
        <f t="shared" si="30"/>
        <v>-19088.399786601956</v>
      </c>
      <c r="AH113" s="78">
        <f t="shared" si="30"/>
        <v>-15493.012426073697</v>
      </c>
      <c r="AI113" s="78">
        <f t="shared" si="30"/>
        <v>-11789.76344472959</v>
      </c>
      <c r="AJ113" s="78">
        <f t="shared" si="30"/>
        <v>-7975.4169939451585</v>
      </c>
      <c r="AK113" s="78">
        <f t="shared" si="30"/>
        <v>-4046.640149637195</v>
      </c>
      <c r="AL113" s="78">
        <f t="shared" si="30"/>
        <v>7.73070496506989E-12</v>
      </c>
      <c r="AM113" s="117"/>
      <c r="AN113" s="118"/>
      <c r="AO113" s="146"/>
    </row>
    <row r="114" spans="3:41" x14ac:dyDescent="0.25">
      <c r="C114" s="147"/>
      <c r="F114" s="66"/>
      <c r="G114" s="66"/>
      <c r="Q114" t="s">
        <v>168</v>
      </c>
      <c r="R114">
        <v>2641</v>
      </c>
      <c r="AM114" s="123"/>
      <c r="AN114" s="81"/>
    </row>
    <row r="115" spans="3:41" ht="15.75" thickBot="1" x14ac:dyDescent="0.3">
      <c r="C115" s="147"/>
      <c r="F115" s="66"/>
      <c r="G115" s="66"/>
      <c r="AM115" s="123"/>
      <c r="AN115" s="81"/>
    </row>
    <row r="116" spans="3:41" ht="21" x14ac:dyDescent="0.35">
      <c r="C116" s="147"/>
      <c r="F116" s="66"/>
      <c r="G116" s="66"/>
      <c r="N116" s="148" t="s">
        <v>171</v>
      </c>
      <c r="O116" s="202"/>
      <c r="P116" s="149"/>
      <c r="Q116" s="150"/>
      <c r="R116" s="91">
        <v>2022</v>
      </c>
      <c r="S116" s="92">
        <f>+R116+1</f>
        <v>2023</v>
      </c>
      <c r="T116" s="92">
        <f t="shared" ref="T116:AL116" si="31">+S116+1</f>
        <v>2024</v>
      </c>
      <c r="U116" s="92">
        <f t="shared" si="31"/>
        <v>2025</v>
      </c>
      <c r="V116" s="92">
        <f t="shared" si="31"/>
        <v>2026</v>
      </c>
      <c r="W116" s="92">
        <f t="shared" si="31"/>
        <v>2027</v>
      </c>
      <c r="X116" s="92">
        <f t="shared" si="31"/>
        <v>2028</v>
      </c>
      <c r="Y116" s="92">
        <f t="shared" si="31"/>
        <v>2029</v>
      </c>
      <c r="Z116" s="92">
        <f t="shared" si="31"/>
        <v>2030</v>
      </c>
      <c r="AA116" s="92">
        <f t="shared" si="31"/>
        <v>2031</v>
      </c>
      <c r="AB116" s="92">
        <f t="shared" si="31"/>
        <v>2032</v>
      </c>
      <c r="AC116" s="92">
        <f t="shared" si="31"/>
        <v>2033</v>
      </c>
      <c r="AD116" s="92">
        <f t="shared" si="31"/>
        <v>2034</v>
      </c>
      <c r="AE116" s="92">
        <f t="shared" si="31"/>
        <v>2035</v>
      </c>
      <c r="AF116" s="92">
        <f t="shared" si="31"/>
        <v>2036</v>
      </c>
      <c r="AG116" s="92">
        <f t="shared" si="31"/>
        <v>2037</v>
      </c>
      <c r="AH116" s="92">
        <f t="shared" si="31"/>
        <v>2038</v>
      </c>
      <c r="AI116" s="92">
        <f t="shared" si="31"/>
        <v>2039</v>
      </c>
      <c r="AJ116" s="92">
        <f t="shared" si="31"/>
        <v>2040</v>
      </c>
      <c r="AK116" s="92">
        <f t="shared" si="31"/>
        <v>2041</v>
      </c>
      <c r="AL116" s="93">
        <f t="shared" si="31"/>
        <v>2042</v>
      </c>
      <c r="AM116" s="94" t="s">
        <v>38</v>
      </c>
      <c r="AN116" s="95" t="s">
        <v>158</v>
      </c>
    </row>
    <row r="117" spans="3:41" x14ac:dyDescent="0.25">
      <c r="C117" s="151"/>
      <c r="F117" s="66"/>
      <c r="G117" s="66"/>
      <c r="N117" s="152" t="s">
        <v>95</v>
      </c>
      <c r="O117" s="203"/>
      <c r="P117" s="153" t="s">
        <v>162</v>
      </c>
      <c r="Q117" s="154"/>
      <c r="R117" s="100">
        <f t="shared" ref="R117:AL117" si="32">SUMIF($A$16:$A$79,$N117,R$16:R$79)</f>
        <v>5925</v>
      </c>
      <c r="S117" s="66">
        <f t="shared" si="32"/>
        <v>194</v>
      </c>
      <c r="T117" s="66">
        <f t="shared" si="32"/>
        <v>2685</v>
      </c>
      <c r="U117" s="66">
        <f t="shared" si="32"/>
        <v>0</v>
      </c>
      <c r="V117" s="66">
        <f t="shared" si="32"/>
        <v>1134</v>
      </c>
      <c r="W117" s="66">
        <f t="shared" si="32"/>
        <v>6988</v>
      </c>
      <c r="X117" s="66">
        <f t="shared" si="32"/>
        <v>146</v>
      </c>
      <c r="Y117" s="66">
        <f t="shared" si="32"/>
        <v>194</v>
      </c>
      <c r="Z117" s="66">
        <f t="shared" si="32"/>
        <v>2443</v>
      </c>
      <c r="AA117" s="66">
        <f t="shared" si="32"/>
        <v>6125</v>
      </c>
      <c r="AB117" s="66">
        <f t="shared" si="32"/>
        <v>3167</v>
      </c>
      <c r="AC117" s="66">
        <f t="shared" si="32"/>
        <v>211</v>
      </c>
      <c r="AD117" s="66">
        <f t="shared" si="32"/>
        <v>940</v>
      </c>
      <c r="AE117" s="66">
        <f t="shared" si="32"/>
        <v>194</v>
      </c>
      <c r="AF117" s="66">
        <f t="shared" si="32"/>
        <v>1649</v>
      </c>
      <c r="AG117" s="66">
        <f t="shared" si="32"/>
        <v>24903</v>
      </c>
      <c r="AH117" s="66">
        <f t="shared" si="32"/>
        <v>2170</v>
      </c>
      <c r="AI117" s="66">
        <f t="shared" si="32"/>
        <v>211</v>
      </c>
      <c r="AJ117" s="66">
        <f t="shared" si="32"/>
        <v>146</v>
      </c>
      <c r="AK117" s="66">
        <f t="shared" si="32"/>
        <v>194</v>
      </c>
      <c r="AL117" s="66">
        <f t="shared" si="32"/>
        <v>12391</v>
      </c>
      <c r="AM117" s="101">
        <f t="shared" si="12"/>
        <v>66085</v>
      </c>
      <c r="AN117" s="102"/>
    </row>
    <row r="118" spans="3:41" x14ac:dyDescent="0.25">
      <c r="C118" s="147"/>
      <c r="F118" s="66"/>
      <c r="G118" s="66"/>
      <c r="N118" s="152" t="s">
        <v>95</v>
      </c>
      <c r="O118" s="203"/>
      <c r="P118" s="153" t="s">
        <v>163</v>
      </c>
      <c r="Q118" s="155"/>
      <c r="R118" s="105">
        <f>+R117*(1+$C$82)^R$82</f>
        <v>6102.75</v>
      </c>
      <c r="S118" s="106">
        <f t="shared" ref="S118:AK118" si="33">+S117*(1+$C$82)^S$82</f>
        <v>205.81459999999998</v>
      </c>
      <c r="T118" s="106">
        <f t="shared" si="33"/>
        <v>2933.9719949999999</v>
      </c>
      <c r="U118" s="106">
        <f t="shared" si="33"/>
        <v>0</v>
      </c>
      <c r="V118" s="106">
        <f t="shared" si="33"/>
        <v>1314.6168002561999</v>
      </c>
      <c r="W118" s="106">
        <f t="shared" si="33"/>
        <v>8344.0374481446506</v>
      </c>
      <c r="X118" s="106">
        <f t="shared" si="33"/>
        <v>179.56158435203102</v>
      </c>
      <c r="Y118" s="106">
        <f t="shared" si="33"/>
        <v>245.7533957891975</v>
      </c>
      <c r="Z118" s="106">
        <f t="shared" si="33"/>
        <v>3187.5608880948444</v>
      </c>
      <c r="AA118" s="106">
        <f t="shared" si="33"/>
        <v>8231.4878234827465</v>
      </c>
      <c r="AB118" s="106">
        <f t="shared" si="33"/>
        <v>4383.8686685843186</v>
      </c>
      <c r="AC118" s="106">
        <f t="shared" si="33"/>
        <v>300.83554712454367</v>
      </c>
      <c r="AD118" s="106">
        <f t="shared" si="33"/>
        <v>1380.4216906444701</v>
      </c>
      <c r="AE118" s="106">
        <f t="shared" si="33"/>
        <v>293.44240662189151</v>
      </c>
      <c r="AF118" s="106">
        <f t="shared" si="33"/>
        <v>2569.0882699746608</v>
      </c>
      <c r="AG118" s="106">
        <f t="shared" si="33"/>
        <v>39962.004452877096</v>
      </c>
      <c r="AH118" s="106">
        <f t="shared" si="33"/>
        <v>3586.679362029699</v>
      </c>
      <c r="AI118" s="106">
        <f t="shared" si="33"/>
        <v>359.21337592161956</v>
      </c>
      <c r="AJ118" s="106">
        <f t="shared" si="33"/>
        <v>256.01188374925664</v>
      </c>
      <c r="AK118" s="106">
        <f t="shared" si="33"/>
        <v>350.38557952586615</v>
      </c>
      <c r="AL118" s="106">
        <f>+AL117*(1+$C$82)^AL$82</f>
        <v>23050.910038052356</v>
      </c>
      <c r="AM118" s="107">
        <f t="shared" si="12"/>
        <v>101135.66581022547</v>
      </c>
      <c r="AN118" s="108">
        <f>+AM118/20</f>
        <v>5056.7832905112737</v>
      </c>
    </row>
    <row r="119" spans="3:41" x14ac:dyDescent="0.25">
      <c r="C119" s="147"/>
      <c r="F119" s="66"/>
      <c r="G119" s="66"/>
      <c r="N119" s="109"/>
      <c r="O119" s="122"/>
      <c r="R119" s="100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101"/>
      <c r="AN119" s="110"/>
    </row>
    <row r="120" spans="3:41" x14ac:dyDescent="0.25">
      <c r="C120" s="147"/>
      <c r="F120" s="66"/>
      <c r="G120" s="66"/>
      <c r="N120" s="111" t="s">
        <v>164</v>
      </c>
      <c r="O120" s="137"/>
      <c r="R120" s="100">
        <v>23800</v>
      </c>
      <c r="S120" s="66">
        <f>+R123</f>
        <v>20606.895784853365</v>
      </c>
      <c r="T120" s="66">
        <f t="shared" ref="T120:AL120" si="34">+S123</f>
        <v>23398.01634325233</v>
      </c>
      <c r="U120" s="66">
        <f t="shared" si="34"/>
        <v>23550.887561403266</v>
      </c>
      <c r="V120" s="66">
        <f t="shared" si="34"/>
        <v>26730.336070948728</v>
      </c>
      <c r="W120" s="66">
        <f t="shared" si="34"/>
        <v>28690.551235524352</v>
      </c>
      <c r="X120" s="66">
        <f t="shared" si="34"/>
        <v>23719.590711156481</v>
      </c>
      <c r="Y120" s="66">
        <f t="shared" si="34"/>
        <v>27014.298358294534</v>
      </c>
      <c r="Z120" s="66">
        <f t="shared" si="34"/>
        <v>30347.042270940125</v>
      </c>
      <c r="AA120" s="66">
        <f t="shared" si="34"/>
        <v>30845.333610533107</v>
      </c>
      <c r="AB120" s="66">
        <f t="shared" si="34"/>
        <v>26410.273581568821</v>
      </c>
      <c r="AC120" s="66">
        <f t="shared" si="34"/>
        <v>25936.725541338521</v>
      </c>
      <c r="AD120" s="66">
        <f t="shared" si="34"/>
        <v>29663.520241418617</v>
      </c>
      <c r="AE120" s="66">
        <f t="shared" si="34"/>
        <v>32431.557705394924</v>
      </c>
      <c r="AF120" s="66">
        <f t="shared" si="34"/>
        <v>36411.028228032432</v>
      </c>
      <c r="AG120" s="66">
        <f t="shared" si="34"/>
        <v>38243.040275194959</v>
      </c>
      <c r="AH120" s="66">
        <f t="shared" si="34"/>
        <v>2814.1691489691657</v>
      </c>
      <c r="AI120" s="66">
        <f t="shared" si="34"/>
        <v>3896.6171133903058</v>
      </c>
      <c r="AJ120" s="66">
        <f t="shared" si="34"/>
        <v>8346.6048837130511</v>
      </c>
      <c r="AK120" s="66">
        <f t="shared" si="34"/>
        <v>13044.07018059549</v>
      </c>
      <c r="AL120" s="66">
        <f t="shared" si="34"/>
        <v>17795.766097120268</v>
      </c>
      <c r="AM120" s="101"/>
      <c r="AN120" s="110"/>
    </row>
    <row r="121" spans="3:41" x14ac:dyDescent="0.25">
      <c r="C121" s="147"/>
      <c r="F121" s="66"/>
      <c r="G121" s="66"/>
      <c r="N121" s="109" t="s">
        <v>165</v>
      </c>
      <c r="O121" s="122"/>
      <c r="R121" s="100">
        <v>2909.6457848533646</v>
      </c>
      <c r="S121" s="66">
        <f>+R121*(1+$C$82)</f>
        <v>2996.9351583989655</v>
      </c>
      <c r="T121" s="66">
        <f t="shared" ref="T121:AL121" si="35">+S121*(1+$C$82)</f>
        <v>3086.8432131509344</v>
      </c>
      <c r="U121" s="66">
        <f t="shared" si="35"/>
        <v>3179.4485095454625</v>
      </c>
      <c r="V121" s="66">
        <f t="shared" si="35"/>
        <v>3274.8319648318266</v>
      </c>
      <c r="W121" s="66">
        <f t="shared" si="35"/>
        <v>3373.0769237767813</v>
      </c>
      <c r="X121" s="66">
        <f t="shared" si="35"/>
        <v>3474.2692314900846</v>
      </c>
      <c r="Y121" s="66">
        <f t="shared" si="35"/>
        <v>3578.4973084347871</v>
      </c>
      <c r="Z121" s="66">
        <f t="shared" si="35"/>
        <v>3685.8522276878307</v>
      </c>
      <c r="AA121" s="66">
        <f t="shared" si="35"/>
        <v>3796.4277945184658</v>
      </c>
      <c r="AB121" s="66">
        <f t="shared" si="35"/>
        <v>3910.3206283540198</v>
      </c>
      <c r="AC121" s="66">
        <f t="shared" si="35"/>
        <v>4027.6302472046405</v>
      </c>
      <c r="AD121" s="66">
        <f t="shared" si="35"/>
        <v>4148.4591546207794</v>
      </c>
      <c r="AE121" s="66">
        <f t="shared" si="35"/>
        <v>4272.9129292594025</v>
      </c>
      <c r="AF121" s="66">
        <f t="shared" si="35"/>
        <v>4401.1003171371849</v>
      </c>
      <c r="AG121" s="66">
        <f t="shared" si="35"/>
        <v>4533.1333266513002</v>
      </c>
      <c r="AH121" s="66">
        <f t="shared" si="35"/>
        <v>4669.1273264508391</v>
      </c>
      <c r="AI121" s="66">
        <f t="shared" si="35"/>
        <v>4809.2011462443643</v>
      </c>
      <c r="AJ121" s="66">
        <f t="shared" si="35"/>
        <v>4953.4771806316958</v>
      </c>
      <c r="AK121" s="66">
        <f t="shared" si="35"/>
        <v>5102.0814960506468</v>
      </c>
      <c r="AL121" s="66">
        <f t="shared" si="35"/>
        <v>5255.1439409321665</v>
      </c>
      <c r="AM121" s="101"/>
      <c r="AN121" s="110"/>
    </row>
    <row r="122" spans="3:41" x14ac:dyDescent="0.25">
      <c r="C122" s="147"/>
      <c r="F122" s="66"/>
      <c r="G122" s="66"/>
      <c r="N122" s="112" t="s">
        <v>166</v>
      </c>
      <c r="O122" s="194"/>
      <c r="P122" s="113"/>
      <c r="Q122" s="113"/>
      <c r="R122" s="105">
        <f>-R118</f>
        <v>-6102.75</v>
      </c>
      <c r="S122" s="106">
        <f>-S118</f>
        <v>-205.81459999999998</v>
      </c>
      <c r="T122" s="106">
        <f t="shared" ref="T122:AL122" si="36">-T118</f>
        <v>-2933.9719949999999</v>
      </c>
      <c r="U122" s="106">
        <f t="shared" si="36"/>
        <v>0</v>
      </c>
      <c r="V122" s="106">
        <f t="shared" si="36"/>
        <v>-1314.6168002561999</v>
      </c>
      <c r="W122" s="106">
        <f t="shared" si="36"/>
        <v>-8344.0374481446506</v>
      </c>
      <c r="X122" s="106">
        <f t="shared" si="36"/>
        <v>-179.56158435203102</v>
      </c>
      <c r="Y122" s="106">
        <f t="shared" si="36"/>
        <v>-245.7533957891975</v>
      </c>
      <c r="Z122" s="106">
        <f t="shared" si="36"/>
        <v>-3187.5608880948444</v>
      </c>
      <c r="AA122" s="106">
        <f t="shared" si="36"/>
        <v>-8231.4878234827465</v>
      </c>
      <c r="AB122" s="106">
        <f t="shared" si="36"/>
        <v>-4383.8686685843186</v>
      </c>
      <c r="AC122" s="106">
        <f t="shared" si="36"/>
        <v>-300.83554712454367</v>
      </c>
      <c r="AD122" s="106">
        <f t="shared" si="36"/>
        <v>-1380.4216906444701</v>
      </c>
      <c r="AE122" s="106">
        <f t="shared" si="36"/>
        <v>-293.44240662189151</v>
      </c>
      <c r="AF122" s="106">
        <f t="shared" si="36"/>
        <v>-2569.0882699746608</v>
      </c>
      <c r="AG122" s="106">
        <f t="shared" si="36"/>
        <v>-39962.004452877096</v>
      </c>
      <c r="AH122" s="106">
        <f t="shared" si="36"/>
        <v>-3586.679362029699</v>
      </c>
      <c r="AI122" s="106">
        <f t="shared" si="36"/>
        <v>-359.21337592161956</v>
      </c>
      <c r="AJ122" s="106">
        <f t="shared" si="36"/>
        <v>-256.01188374925664</v>
      </c>
      <c r="AK122" s="106">
        <f t="shared" si="36"/>
        <v>-350.38557952586615</v>
      </c>
      <c r="AL122" s="114">
        <f t="shared" si="36"/>
        <v>-23050.910038052356</v>
      </c>
      <c r="AM122" s="101"/>
      <c r="AN122" s="110"/>
    </row>
    <row r="123" spans="3:41" ht="15.75" thickBot="1" x14ac:dyDescent="0.3">
      <c r="C123" s="147"/>
      <c r="F123" s="66"/>
      <c r="G123" s="66"/>
      <c r="N123" s="115" t="s">
        <v>167</v>
      </c>
      <c r="O123" s="195"/>
      <c r="P123" s="76"/>
      <c r="Q123" s="76"/>
      <c r="R123" s="116">
        <f>SUM(R120:R122)</f>
        <v>20606.895784853365</v>
      </c>
      <c r="S123" s="78">
        <f>SUM(S120:S122)</f>
        <v>23398.01634325233</v>
      </c>
      <c r="T123" s="78">
        <f t="shared" ref="T123:AL123" si="37">SUM(T120:T122)</f>
        <v>23550.887561403266</v>
      </c>
      <c r="U123" s="78">
        <f t="shared" si="37"/>
        <v>26730.336070948728</v>
      </c>
      <c r="V123" s="78">
        <f t="shared" si="37"/>
        <v>28690.551235524352</v>
      </c>
      <c r="W123" s="78">
        <f t="shared" si="37"/>
        <v>23719.590711156481</v>
      </c>
      <c r="X123" s="78">
        <f t="shared" si="37"/>
        <v>27014.298358294534</v>
      </c>
      <c r="Y123" s="78">
        <f t="shared" si="37"/>
        <v>30347.042270940125</v>
      </c>
      <c r="Z123" s="78">
        <f t="shared" si="37"/>
        <v>30845.333610533107</v>
      </c>
      <c r="AA123" s="78">
        <f t="shared" si="37"/>
        <v>26410.273581568821</v>
      </c>
      <c r="AB123" s="78">
        <f t="shared" si="37"/>
        <v>25936.725541338521</v>
      </c>
      <c r="AC123" s="78">
        <f t="shared" si="37"/>
        <v>29663.520241418617</v>
      </c>
      <c r="AD123" s="78">
        <f t="shared" si="37"/>
        <v>32431.557705394924</v>
      </c>
      <c r="AE123" s="78">
        <f t="shared" si="37"/>
        <v>36411.028228032432</v>
      </c>
      <c r="AF123" s="78">
        <f t="shared" si="37"/>
        <v>38243.040275194959</v>
      </c>
      <c r="AG123" s="78">
        <f t="shared" si="37"/>
        <v>2814.1691489691657</v>
      </c>
      <c r="AH123" s="78">
        <f t="shared" si="37"/>
        <v>3896.6171133903058</v>
      </c>
      <c r="AI123" s="78">
        <f t="shared" si="37"/>
        <v>8346.6048837130511</v>
      </c>
      <c r="AJ123" s="78">
        <f t="shared" si="37"/>
        <v>13044.07018059549</v>
      </c>
      <c r="AK123" s="78">
        <f t="shared" si="37"/>
        <v>17795.766097120268</v>
      </c>
      <c r="AL123" s="78">
        <f t="shared" si="37"/>
        <v>7.6397554948925972E-11</v>
      </c>
      <c r="AM123" s="117"/>
      <c r="AN123" s="118"/>
    </row>
    <row r="124" spans="3:41" x14ac:dyDescent="0.25">
      <c r="C124" s="147"/>
      <c r="F124" s="66"/>
      <c r="G124" s="66"/>
      <c r="Q124" t="s">
        <v>168</v>
      </c>
      <c r="R124">
        <v>3258</v>
      </c>
      <c r="AM124" s="123"/>
      <c r="AN124" s="81"/>
    </row>
    <row r="125" spans="3:41" x14ac:dyDescent="0.25">
      <c r="C125" s="147"/>
      <c r="F125" s="66"/>
      <c r="G125" s="66"/>
      <c r="N125" t="s">
        <v>172</v>
      </c>
      <c r="R125" s="66">
        <f>+R91+R101+R111+R121</f>
        <v>27309.887694550776</v>
      </c>
      <c r="AM125" s="123"/>
      <c r="AN125" s="81"/>
    </row>
    <row r="126" spans="3:41" x14ac:dyDescent="0.25">
      <c r="C126" s="147"/>
      <c r="F126" s="66"/>
      <c r="G126" s="66"/>
      <c r="Q126" t="s">
        <v>168</v>
      </c>
      <c r="R126" s="66">
        <f>+R94+R104+R114+R124</f>
        <v>25830</v>
      </c>
      <c r="AM126" s="123"/>
      <c r="AN126" s="81"/>
    </row>
    <row r="127" spans="3:41" ht="15.75" thickBot="1" x14ac:dyDescent="0.3">
      <c r="C127" s="147"/>
      <c r="F127" s="66"/>
      <c r="G127" s="66"/>
      <c r="R127" s="66"/>
      <c r="AM127" s="123"/>
      <c r="AN127" s="81"/>
    </row>
    <row r="128" spans="3:41" x14ac:dyDescent="0.25">
      <c r="C128" s="147"/>
      <c r="F128" s="66"/>
      <c r="G128" s="66"/>
      <c r="N128" s="156" t="s">
        <v>173</v>
      </c>
      <c r="O128" s="204"/>
      <c r="P128" s="157" t="s">
        <v>162</v>
      </c>
      <c r="Q128" s="157"/>
      <c r="R128" s="71">
        <f>+R87+R97+R107+R117</f>
        <v>11108</v>
      </c>
      <c r="S128" s="71">
        <f t="shared" ref="S128:AL129" si="38">+S87+S97+S107+S117</f>
        <v>569</v>
      </c>
      <c r="T128" s="71">
        <f t="shared" si="38"/>
        <v>10865</v>
      </c>
      <c r="U128" s="71">
        <f t="shared" si="38"/>
        <v>0</v>
      </c>
      <c r="V128" s="71">
        <f t="shared" si="38"/>
        <v>1134</v>
      </c>
      <c r="W128" s="71">
        <f t="shared" si="38"/>
        <v>64190.45</v>
      </c>
      <c r="X128" s="71">
        <f t="shared" si="38"/>
        <v>3813</v>
      </c>
      <c r="Y128" s="71">
        <f t="shared" si="38"/>
        <v>194</v>
      </c>
      <c r="Z128" s="71">
        <f t="shared" si="38"/>
        <v>4094</v>
      </c>
      <c r="AA128" s="71">
        <f t="shared" si="38"/>
        <v>52955</v>
      </c>
      <c r="AB128" s="71">
        <f t="shared" si="38"/>
        <v>10462</v>
      </c>
      <c r="AC128" s="71">
        <f t="shared" si="38"/>
        <v>2237</v>
      </c>
      <c r="AD128" s="71">
        <f t="shared" si="38"/>
        <v>9242</v>
      </c>
      <c r="AE128" s="71">
        <f t="shared" si="38"/>
        <v>194</v>
      </c>
      <c r="AF128" s="71">
        <f t="shared" si="38"/>
        <v>54561</v>
      </c>
      <c r="AG128" s="71">
        <f t="shared" si="38"/>
        <v>123366</v>
      </c>
      <c r="AH128" s="71">
        <f t="shared" si="38"/>
        <v>5782</v>
      </c>
      <c r="AI128" s="71">
        <f t="shared" si="38"/>
        <v>1862</v>
      </c>
      <c r="AJ128" s="71">
        <f t="shared" si="38"/>
        <v>3438</v>
      </c>
      <c r="AK128" s="71">
        <f t="shared" si="38"/>
        <v>57167</v>
      </c>
      <c r="AL128" s="71">
        <f t="shared" si="38"/>
        <v>146947</v>
      </c>
      <c r="AM128" s="158">
        <f>SUM(S128:AL128)</f>
        <v>553072.44999999995</v>
      </c>
      <c r="AN128" s="74"/>
    </row>
    <row r="129" spans="3:40" ht="15.75" thickBot="1" x14ac:dyDescent="0.3">
      <c r="N129" s="159" t="s">
        <v>173</v>
      </c>
      <c r="O129" s="205"/>
      <c r="P129" s="160" t="s">
        <v>163</v>
      </c>
      <c r="Q129" s="160"/>
      <c r="R129" s="78">
        <f>+R88+R98+R108+R118</f>
        <v>11441.24</v>
      </c>
      <c r="S129" s="78">
        <f t="shared" si="38"/>
        <v>603.65210000000002</v>
      </c>
      <c r="T129" s="78">
        <f t="shared" si="38"/>
        <v>11872.478854999999</v>
      </c>
      <c r="U129" s="78">
        <f t="shared" si="38"/>
        <v>0</v>
      </c>
      <c r="V129" s="78">
        <f t="shared" si="38"/>
        <v>1314.6168002561999</v>
      </c>
      <c r="W129" s="78">
        <f t="shared" si="38"/>
        <v>76646.75423772994</v>
      </c>
      <c r="X129" s="78">
        <f t="shared" si="38"/>
        <v>4689.5090488650285</v>
      </c>
      <c r="Y129" s="78">
        <f t="shared" si="38"/>
        <v>245.7533957891975</v>
      </c>
      <c r="Z129" s="78">
        <f t="shared" si="38"/>
        <v>5341.7414145969269</v>
      </c>
      <c r="AA129" s="78">
        <f t="shared" si="38"/>
        <v>71167.091868167961</v>
      </c>
      <c r="AB129" s="78">
        <f t="shared" si="38"/>
        <v>14481.854755519149</v>
      </c>
      <c r="AC129" s="78">
        <f t="shared" si="38"/>
        <v>3189.4271038749016</v>
      </c>
      <c r="AD129" s="78">
        <f t="shared" si="38"/>
        <v>13572.188579719354</v>
      </c>
      <c r="AE129" s="78">
        <f t="shared" si="38"/>
        <v>293.44240662189151</v>
      </c>
      <c r="AF129" s="78">
        <f t="shared" si="38"/>
        <v>85004.260217154297</v>
      </c>
      <c r="AG129" s="78">
        <f t="shared" si="38"/>
        <v>197966.21456586098</v>
      </c>
      <c r="AH129" s="78">
        <f t="shared" si="38"/>
        <v>9556.7650097952628</v>
      </c>
      <c r="AI129" s="78">
        <f t="shared" si="38"/>
        <v>3169.9303600286999</v>
      </c>
      <c r="AJ129" s="78">
        <f t="shared" si="38"/>
        <v>6028.5538104790703</v>
      </c>
      <c r="AK129" s="78">
        <f t="shared" si="38"/>
        <v>103249.96095234636</v>
      </c>
      <c r="AL129" s="78">
        <f t="shared" si="38"/>
        <v>273364.70642899524</v>
      </c>
      <c r="AM129" s="117">
        <f>SUM(S129:AL129)</f>
        <v>881758.90191080049</v>
      </c>
      <c r="AN129" s="118">
        <f>+AM129/20</f>
        <v>44087.945095540024</v>
      </c>
    </row>
    <row r="130" spans="3:40" x14ac:dyDescent="0.25">
      <c r="C130" s="161"/>
      <c r="AM130" s="162"/>
      <c r="AN130" s="68"/>
    </row>
    <row r="131" spans="3:40" x14ac:dyDescent="0.25">
      <c r="C131" s="161"/>
      <c r="F131" s="83"/>
      <c r="G131" s="83"/>
      <c r="I131" s="83"/>
    </row>
    <row r="132" spans="3:40" ht="15.75" x14ac:dyDescent="0.25">
      <c r="C132" s="163"/>
      <c r="F132" s="66"/>
      <c r="G132" s="66"/>
      <c r="I132" s="66"/>
      <c r="L132" s="66"/>
      <c r="AH132" s="164" t="s">
        <v>174</v>
      </c>
    </row>
    <row r="133" spans="3:40" ht="15.75" thickBot="1" x14ac:dyDescent="0.3">
      <c r="C133" s="163"/>
      <c r="F133" s="66"/>
      <c r="G133" s="66"/>
      <c r="I133" s="66"/>
      <c r="L133" s="66"/>
      <c r="N133" s="81" t="s">
        <v>175</v>
      </c>
      <c r="O133" s="81"/>
      <c r="Z133" s="81" t="s">
        <v>176</v>
      </c>
      <c r="AH133" s="82" t="s">
        <v>177</v>
      </c>
    </row>
    <row r="134" spans="3:40" ht="15.75" x14ac:dyDescent="0.25">
      <c r="C134" s="163"/>
      <c r="F134" s="66"/>
      <c r="G134" s="66"/>
      <c r="I134" s="66"/>
      <c r="L134" s="66"/>
      <c r="N134" s="165"/>
      <c r="O134" s="166"/>
      <c r="P134" s="166"/>
      <c r="Q134" s="166"/>
      <c r="R134" s="167" t="s">
        <v>30</v>
      </c>
      <c r="S134" s="168" t="s">
        <v>161</v>
      </c>
      <c r="T134" s="168" t="s">
        <v>178</v>
      </c>
      <c r="U134" s="168" t="s">
        <v>179</v>
      </c>
      <c r="V134" s="168" t="s">
        <v>180</v>
      </c>
      <c r="W134" s="168" t="s">
        <v>38</v>
      </c>
      <c r="X134" s="169" t="s">
        <v>181</v>
      </c>
      <c r="Z134" s="165"/>
      <c r="AA134" s="167" t="s">
        <v>168</v>
      </c>
      <c r="AB134" s="168" t="s">
        <v>182</v>
      </c>
      <c r="AC134" s="170" t="s">
        <v>183</v>
      </c>
      <c r="AH134" s="164" t="s">
        <v>184</v>
      </c>
    </row>
    <row r="135" spans="3:40" x14ac:dyDescent="0.25">
      <c r="C135" s="163"/>
      <c r="F135" s="66"/>
      <c r="G135" s="66"/>
      <c r="I135" s="66"/>
      <c r="L135" s="66"/>
      <c r="N135" s="134" t="s">
        <v>169</v>
      </c>
      <c r="R135" s="171">
        <v>30</v>
      </c>
      <c r="S135" s="66">
        <f>+R135/R138*R91</f>
        <v>5642.1690198500582</v>
      </c>
      <c r="T135" s="66">
        <f>+R101</f>
        <v>15577.184849767931</v>
      </c>
      <c r="U135" s="66">
        <f>+R135/33*R111</f>
        <v>2036.8423061555263</v>
      </c>
      <c r="V135" s="66">
        <f>+R135/32*R121</f>
        <v>2727.7929233000295</v>
      </c>
      <c r="W135" s="66">
        <f>SUM(S135:V135)</f>
        <v>25983.989099073544</v>
      </c>
      <c r="X135" s="172">
        <f>+W135/R135</f>
        <v>866.13296996911811</v>
      </c>
      <c r="Z135" s="173" t="s">
        <v>161</v>
      </c>
      <c r="AA135" s="100">
        <f>+R94</f>
        <v>1626</v>
      </c>
      <c r="AB135" s="66">
        <f>+R91</f>
        <v>6582.5305231584016</v>
      </c>
      <c r="AC135" s="174">
        <f>+AB135/AA135</f>
        <v>4.0482967547099644</v>
      </c>
    </row>
    <row r="136" spans="3:40" x14ac:dyDescent="0.25">
      <c r="C136" s="163"/>
      <c r="L136" s="66"/>
      <c r="N136" s="134" t="s">
        <v>185</v>
      </c>
      <c r="R136" s="100">
        <v>2</v>
      </c>
      <c r="S136" s="66">
        <f>+R136/R138*R91</f>
        <v>376.14460132333721</v>
      </c>
      <c r="T136" s="66"/>
      <c r="U136" s="66"/>
      <c r="V136" s="66">
        <f>+R136/32*R121</f>
        <v>181.85286155333529</v>
      </c>
      <c r="W136" s="66">
        <f t="shared" ref="W136:W138" si="39">SUM(S136:V136)</f>
        <v>557.99746287667244</v>
      </c>
      <c r="X136" s="172">
        <f t="shared" ref="X136:X138" si="40">+W136/R136</f>
        <v>278.99873143833622</v>
      </c>
      <c r="Z136" s="175" t="s">
        <v>178</v>
      </c>
      <c r="AA136" s="135">
        <f>+R104</f>
        <v>18305</v>
      </c>
      <c r="AB136" s="66">
        <f>+R101</f>
        <v>15577.184849767931</v>
      </c>
      <c r="AC136" s="174">
        <f t="shared" ref="AC136:AC139" si="41">+AB136/AA136</f>
        <v>0.85097977873629782</v>
      </c>
    </row>
    <row r="137" spans="3:40" x14ac:dyDescent="0.25">
      <c r="C137" s="176"/>
      <c r="L137" s="66"/>
      <c r="N137" s="177" t="s">
        <v>186</v>
      </c>
      <c r="O137" s="113"/>
      <c r="P137" s="113"/>
      <c r="Q137" s="113"/>
      <c r="R137" s="105">
        <v>3</v>
      </c>
      <c r="S137" s="106">
        <f>+R137/R138*R91</f>
        <v>564.21690198500585</v>
      </c>
      <c r="T137" s="106"/>
      <c r="U137" s="106">
        <f>0.0909090909090909*R111</f>
        <v>203.68423061555262</v>
      </c>
      <c r="V137" s="106"/>
      <c r="W137" s="106">
        <f t="shared" si="39"/>
        <v>767.90113260055841</v>
      </c>
      <c r="X137" s="178">
        <f t="shared" si="40"/>
        <v>255.96704420018614</v>
      </c>
      <c r="Z137" s="175" t="s">
        <v>179</v>
      </c>
      <c r="AA137" s="135">
        <f>+R114</f>
        <v>2641</v>
      </c>
      <c r="AB137" s="66">
        <f>+R111</f>
        <v>2240.526536771079</v>
      </c>
      <c r="AC137" s="174">
        <f t="shared" si="41"/>
        <v>0.84836294463123019</v>
      </c>
    </row>
    <row r="138" spans="3:40" ht="15.75" thickBot="1" x14ac:dyDescent="0.3">
      <c r="C138" s="176"/>
      <c r="N138" s="75"/>
      <c r="O138" s="76"/>
      <c r="P138" s="76"/>
      <c r="Q138" s="76"/>
      <c r="R138" s="116">
        <f>SUM(R135:R137)</f>
        <v>35</v>
      </c>
      <c r="S138" s="78">
        <f>SUM(S135:S137)</f>
        <v>6582.5305231584016</v>
      </c>
      <c r="T138" s="78">
        <f>SUM(T135:T137)</f>
        <v>15577.184849767931</v>
      </c>
      <c r="U138" s="78">
        <f>SUM(U135:U137)</f>
        <v>2240.526536771079</v>
      </c>
      <c r="V138" s="78">
        <f>SUM(V135:V137)</f>
        <v>2909.6457848533646</v>
      </c>
      <c r="W138" s="78">
        <f t="shared" si="39"/>
        <v>27309.887694550776</v>
      </c>
      <c r="X138" s="179">
        <f t="shared" si="40"/>
        <v>780.28250555859358</v>
      </c>
      <c r="Z138" s="180" t="s">
        <v>180</v>
      </c>
      <c r="AA138" s="181">
        <f>+R124</f>
        <v>3258</v>
      </c>
      <c r="AB138" s="106">
        <f>+R121</f>
        <v>2909.6457848533646</v>
      </c>
      <c r="AC138" s="182">
        <f t="shared" si="41"/>
        <v>0.89307728202988479</v>
      </c>
    </row>
    <row r="139" spans="3:40" ht="15.75" thickBot="1" x14ac:dyDescent="0.3">
      <c r="C139" s="176"/>
      <c r="R139" s="66"/>
      <c r="S139" s="66"/>
      <c r="T139" s="66"/>
      <c r="U139" s="66"/>
      <c r="V139" s="66"/>
      <c r="W139" s="66"/>
      <c r="X139" s="66"/>
      <c r="Z139" s="183" t="s">
        <v>38</v>
      </c>
      <c r="AA139" s="116">
        <f>SUM(AA135:AA138)</f>
        <v>25830</v>
      </c>
      <c r="AB139" s="78">
        <f>SUM(AB135:AB138)</f>
        <v>27309.887694550776</v>
      </c>
      <c r="AC139" s="184">
        <f t="shared" si="41"/>
        <v>1.057293367965574</v>
      </c>
    </row>
    <row r="141" spans="3:40" ht="16.5" thickBot="1" x14ac:dyDescent="0.3">
      <c r="N141" s="185" t="s">
        <v>187</v>
      </c>
      <c r="O141" s="185"/>
    </row>
    <row r="142" spans="3:40" x14ac:dyDescent="0.25">
      <c r="N142" s="165"/>
      <c r="O142" s="166"/>
      <c r="P142" s="186"/>
      <c r="Q142" s="166"/>
      <c r="R142" s="187">
        <f>+R14</f>
        <v>2022</v>
      </c>
      <c r="S142" s="187">
        <f>+R142+1</f>
        <v>2023</v>
      </c>
      <c r="T142" s="187">
        <f t="shared" ref="T142:AL142" si="42">+S142+1</f>
        <v>2024</v>
      </c>
      <c r="U142" s="187">
        <f t="shared" si="42"/>
        <v>2025</v>
      </c>
      <c r="V142" s="187">
        <f t="shared" si="42"/>
        <v>2026</v>
      </c>
      <c r="W142" s="187">
        <f t="shared" si="42"/>
        <v>2027</v>
      </c>
      <c r="X142" s="187">
        <f t="shared" si="42"/>
        <v>2028</v>
      </c>
      <c r="Y142" s="187">
        <f t="shared" si="42"/>
        <v>2029</v>
      </c>
      <c r="Z142" s="187">
        <f t="shared" si="42"/>
        <v>2030</v>
      </c>
      <c r="AA142" s="187">
        <f t="shared" si="42"/>
        <v>2031</v>
      </c>
      <c r="AB142" s="187">
        <f t="shared" si="42"/>
        <v>2032</v>
      </c>
      <c r="AC142" s="187">
        <f t="shared" si="42"/>
        <v>2033</v>
      </c>
      <c r="AD142" s="187">
        <f t="shared" si="42"/>
        <v>2034</v>
      </c>
      <c r="AE142" s="187">
        <f t="shared" si="42"/>
        <v>2035</v>
      </c>
      <c r="AF142" s="187">
        <f t="shared" si="42"/>
        <v>2036</v>
      </c>
      <c r="AG142" s="187">
        <f t="shared" si="42"/>
        <v>2037</v>
      </c>
      <c r="AH142" s="187">
        <f t="shared" si="42"/>
        <v>2038</v>
      </c>
      <c r="AI142" s="187">
        <f t="shared" si="42"/>
        <v>2039</v>
      </c>
      <c r="AJ142" s="187">
        <f t="shared" si="42"/>
        <v>2040</v>
      </c>
      <c r="AK142" s="187">
        <f t="shared" si="42"/>
        <v>2041</v>
      </c>
      <c r="AL142" s="188">
        <f t="shared" si="42"/>
        <v>2042</v>
      </c>
    </row>
    <row r="143" spans="3:40" x14ac:dyDescent="0.25">
      <c r="N143" s="134" t="s">
        <v>164</v>
      </c>
      <c r="P143" s="135"/>
      <c r="R143" s="66">
        <v>117422.79000000001</v>
      </c>
      <c r="S143" s="66">
        <f>+R146</f>
        <v>133291.43769455078</v>
      </c>
      <c r="T143" s="66">
        <f t="shared" ref="T143:AL143" si="43">+S146</f>
        <v>160816.96991993807</v>
      </c>
      <c r="U143" s="66">
        <f t="shared" si="43"/>
        <v>177917.550920087</v>
      </c>
      <c r="V143" s="66">
        <f t="shared" si="43"/>
        <v>207759.8025708904</v>
      </c>
      <c r="W143" s="66">
        <f t="shared" si="43"/>
        <v>237182.7049709617</v>
      </c>
      <c r="X143" s="66">
        <f t="shared" si="43"/>
        <v>192195.59550956904</v>
      </c>
      <c r="Y143" s="66">
        <f t="shared" si="43"/>
        <v>220115.52058033145</v>
      </c>
      <c r="Z143" s="66">
        <f t="shared" si="43"/>
        <v>253457.48432775852</v>
      </c>
      <c r="AA143" s="66">
        <f t="shared" si="43"/>
        <v>282711.09157067433</v>
      </c>
      <c r="AB143" s="66">
        <f t="shared" si="43"/>
        <v>247177.20881974447</v>
      </c>
      <c r="AC143" s="66">
        <f t="shared" si="43"/>
        <v>269397.5594549806</v>
      </c>
      <c r="AD143" s="66">
        <f t="shared" si="43"/>
        <v>304011.40390358359</v>
      </c>
      <c r="AE143" s="66">
        <f t="shared" si="43"/>
        <v>329376.58502291649</v>
      </c>
      <c r="AF143" s="66">
        <f t="shared" si="43"/>
        <v>369188.63340631843</v>
      </c>
      <c r="AG143" s="66">
        <f t="shared" si="43"/>
        <v>325493.0287028887</v>
      </c>
      <c r="AH143" s="66">
        <f t="shared" si="43"/>
        <v>170074.72931616398</v>
      </c>
      <c r="AI143" s="66">
        <f t="shared" si="43"/>
        <v>204342.3169408791</v>
      </c>
      <c r="AJ143" s="66">
        <f t="shared" si="43"/>
        <v>246311.46979439608</v>
      </c>
      <c r="AK143" s="66">
        <f t="shared" si="43"/>
        <v>286776.17169386905</v>
      </c>
      <c r="AL143" s="189">
        <f t="shared" si="43"/>
        <v>231414.26412277328</v>
      </c>
    </row>
    <row r="144" spans="3:40" x14ac:dyDescent="0.25">
      <c r="N144" s="134" t="s">
        <v>188</v>
      </c>
      <c r="P144" s="135"/>
      <c r="R144" s="66">
        <f>+R125</f>
        <v>27309.887694550776</v>
      </c>
      <c r="S144" s="66">
        <f>+R144*(1+$C$82)</f>
        <v>28129.184325387301</v>
      </c>
      <c r="T144" s="66">
        <f t="shared" ref="T144:AL144" si="44">+S144*(1+$C$82)</f>
        <v>28973.05985514892</v>
      </c>
      <c r="U144" s="66">
        <f t="shared" si="44"/>
        <v>29842.251650803388</v>
      </c>
      <c r="V144" s="66">
        <f t="shared" si="44"/>
        <v>30737.51920032749</v>
      </c>
      <c r="W144" s="66">
        <f t="shared" si="44"/>
        <v>31659.644776337314</v>
      </c>
      <c r="X144" s="66">
        <f t="shared" si="44"/>
        <v>32609.434119627436</v>
      </c>
      <c r="Y144" s="66">
        <f t="shared" si="44"/>
        <v>33587.717143216258</v>
      </c>
      <c r="Z144" s="66">
        <f t="shared" si="44"/>
        <v>34595.348657512746</v>
      </c>
      <c r="AA144" s="66">
        <f t="shared" si="44"/>
        <v>35633.209117238126</v>
      </c>
      <c r="AB144" s="66">
        <f t="shared" si="44"/>
        <v>36702.205390755269</v>
      </c>
      <c r="AC144" s="66">
        <f t="shared" si="44"/>
        <v>37803.271552477927</v>
      </c>
      <c r="AD144" s="66">
        <f t="shared" si="44"/>
        <v>38937.369699052266</v>
      </c>
      <c r="AE144" s="66">
        <f t="shared" si="44"/>
        <v>40105.490790023832</v>
      </c>
      <c r="AF144" s="66">
        <f t="shared" si="44"/>
        <v>41308.655513724545</v>
      </c>
      <c r="AG144" s="66">
        <f t="shared" si="44"/>
        <v>42547.915179136282</v>
      </c>
      <c r="AH144" s="66">
        <f t="shared" si="44"/>
        <v>43824.352634510375</v>
      </c>
      <c r="AI144" s="66">
        <f t="shared" si="44"/>
        <v>45139.083213545688</v>
      </c>
      <c r="AJ144" s="66">
        <f t="shared" si="44"/>
        <v>46493.255709952056</v>
      </c>
      <c r="AK144" s="66">
        <f t="shared" si="44"/>
        <v>47888.053381250618</v>
      </c>
      <c r="AL144" s="189">
        <f t="shared" si="44"/>
        <v>49324.694982688139</v>
      </c>
    </row>
    <row r="145" spans="14:38" x14ac:dyDescent="0.25">
      <c r="N145" s="134" t="s">
        <v>166</v>
      </c>
      <c r="P145" s="181"/>
      <c r="Q145" s="113"/>
      <c r="R145" s="106">
        <f>-R129</f>
        <v>-11441.24</v>
      </c>
      <c r="S145" s="106">
        <f>-S129</f>
        <v>-603.65210000000002</v>
      </c>
      <c r="T145" s="106">
        <f t="shared" ref="T145:AL145" si="45">-T129</f>
        <v>-11872.478854999999</v>
      </c>
      <c r="U145" s="106">
        <f t="shared" si="45"/>
        <v>0</v>
      </c>
      <c r="V145" s="106">
        <f t="shared" si="45"/>
        <v>-1314.6168002561999</v>
      </c>
      <c r="W145" s="106">
        <f t="shared" si="45"/>
        <v>-76646.75423772994</v>
      </c>
      <c r="X145" s="106">
        <f t="shared" si="45"/>
        <v>-4689.5090488650285</v>
      </c>
      <c r="Y145" s="106">
        <f t="shared" si="45"/>
        <v>-245.7533957891975</v>
      </c>
      <c r="Z145" s="106">
        <f t="shared" si="45"/>
        <v>-5341.7414145969269</v>
      </c>
      <c r="AA145" s="106">
        <f t="shared" si="45"/>
        <v>-71167.091868167961</v>
      </c>
      <c r="AB145" s="106">
        <f t="shared" si="45"/>
        <v>-14481.854755519149</v>
      </c>
      <c r="AC145" s="106">
        <f t="shared" si="45"/>
        <v>-3189.4271038749016</v>
      </c>
      <c r="AD145" s="106">
        <f t="shared" si="45"/>
        <v>-13572.188579719354</v>
      </c>
      <c r="AE145" s="106">
        <f t="shared" si="45"/>
        <v>-293.44240662189151</v>
      </c>
      <c r="AF145" s="106">
        <f t="shared" si="45"/>
        <v>-85004.260217154297</v>
      </c>
      <c r="AG145" s="106">
        <f t="shared" si="45"/>
        <v>-197966.21456586098</v>
      </c>
      <c r="AH145" s="106">
        <f t="shared" si="45"/>
        <v>-9556.7650097952628</v>
      </c>
      <c r="AI145" s="106">
        <f t="shared" si="45"/>
        <v>-3169.9303600286999</v>
      </c>
      <c r="AJ145" s="106">
        <f t="shared" si="45"/>
        <v>-6028.5538104790703</v>
      </c>
      <c r="AK145" s="106">
        <f t="shared" si="45"/>
        <v>-103249.96095234636</v>
      </c>
      <c r="AL145" s="114">
        <f t="shared" si="45"/>
        <v>-273364.70642899524</v>
      </c>
    </row>
    <row r="146" spans="14:38" ht="15.75" thickBot="1" x14ac:dyDescent="0.3">
      <c r="N146" s="75" t="s">
        <v>167</v>
      </c>
      <c r="O146" s="76"/>
      <c r="P146" s="190"/>
      <c r="Q146" s="76"/>
      <c r="R146" s="78">
        <f>SUM(R143:R145)</f>
        <v>133291.43769455078</v>
      </c>
      <c r="S146" s="78">
        <f>SUM(S143:S145)</f>
        <v>160816.96991993807</v>
      </c>
      <c r="T146" s="78">
        <f t="shared" ref="T146:AL146" si="46">SUM(T143:T145)</f>
        <v>177917.550920087</v>
      </c>
      <c r="U146" s="78">
        <f t="shared" si="46"/>
        <v>207759.8025708904</v>
      </c>
      <c r="V146" s="78">
        <f t="shared" si="46"/>
        <v>237182.7049709617</v>
      </c>
      <c r="W146" s="78">
        <f t="shared" si="46"/>
        <v>192195.59550956904</v>
      </c>
      <c r="X146" s="78">
        <f t="shared" si="46"/>
        <v>220115.52058033145</v>
      </c>
      <c r="Y146" s="78">
        <f t="shared" si="46"/>
        <v>253457.48432775852</v>
      </c>
      <c r="Z146" s="78">
        <f t="shared" si="46"/>
        <v>282711.09157067433</v>
      </c>
      <c r="AA146" s="78">
        <f t="shared" si="46"/>
        <v>247177.20881974447</v>
      </c>
      <c r="AB146" s="78">
        <f t="shared" si="46"/>
        <v>269397.5594549806</v>
      </c>
      <c r="AC146" s="78">
        <f t="shared" si="46"/>
        <v>304011.40390358359</v>
      </c>
      <c r="AD146" s="78">
        <f t="shared" si="46"/>
        <v>329376.58502291649</v>
      </c>
      <c r="AE146" s="78">
        <f t="shared" si="46"/>
        <v>369188.63340631843</v>
      </c>
      <c r="AF146" s="78">
        <f t="shared" si="46"/>
        <v>325493.0287028887</v>
      </c>
      <c r="AG146" s="78">
        <f t="shared" si="46"/>
        <v>170074.72931616398</v>
      </c>
      <c r="AH146" s="78">
        <f t="shared" si="46"/>
        <v>204342.3169408791</v>
      </c>
      <c r="AI146" s="78">
        <f t="shared" si="46"/>
        <v>246311.46979439608</v>
      </c>
      <c r="AJ146" s="78">
        <f t="shared" si="46"/>
        <v>286776.17169386905</v>
      </c>
      <c r="AK146" s="78">
        <f t="shared" si="46"/>
        <v>231414.26412277328</v>
      </c>
      <c r="AL146" s="80">
        <f t="shared" si="46"/>
        <v>7374.2526764661889</v>
      </c>
    </row>
  </sheetData>
  <mergeCells count="146">
    <mergeCell ref="J80:Q80"/>
    <mergeCell ref="B77:D77"/>
    <mergeCell ref="AY77:AZ77"/>
    <mergeCell ref="B78:D78"/>
    <mergeCell ref="AY78:AZ78"/>
    <mergeCell ref="B79:D79"/>
    <mergeCell ref="AY79:AZ79"/>
    <mergeCell ref="B74:D74"/>
    <mergeCell ref="AY74:AZ74"/>
    <mergeCell ref="B75:D75"/>
    <mergeCell ref="AY75:AZ75"/>
    <mergeCell ref="B76:D76"/>
    <mergeCell ref="AY76:AZ76"/>
    <mergeCell ref="AY73:AZ73"/>
    <mergeCell ref="B68:D68"/>
    <mergeCell ref="AY68:AZ68"/>
    <mergeCell ref="B69:D69"/>
    <mergeCell ref="AY69:AZ69"/>
    <mergeCell ref="B70:D70"/>
    <mergeCell ref="AY70:AZ70"/>
    <mergeCell ref="B65:D65"/>
    <mergeCell ref="AY65:AZ65"/>
    <mergeCell ref="B66:D66"/>
    <mergeCell ref="AY66:AZ66"/>
    <mergeCell ref="B67:D67"/>
    <mergeCell ref="AY67:AZ67"/>
    <mergeCell ref="B71:D71"/>
    <mergeCell ref="AY71:AZ71"/>
    <mergeCell ref="B72:D72"/>
    <mergeCell ref="AY72:AZ72"/>
    <mergeCell ref="B73:D73"/>
    <mergeCell ref="B62:D62"/>
    <mergeCell ref="AY62:AZ62"/>
    <mergeCell ref="B63:D63"/>
    <mergeCell ref="AY63:AZ63"/>
    <mergeCell ref="B64:D64"/>
    <mergeCell ref="AY64:AZ64"/>
    <mergeCell ref="B59:D59"/>
    <mergeCell ref="AY59:AZ59"/>
    <mergeCell ref="B60:D60"/>
    <mergeCell ref="AY60:AZ60"/>
    <mergeCell ref="B61:D61"/>
    <mergeCell ref="AY61:AZ61"/>
    <mergeCell ref="B56:D56"/>
    <mergeCell ref="AY56:AZ56"/>
    <mergeCell ref="B57:D57"/>
    <mergeCell ref="AY57:AZ57"/>
    <mergeCell ref="B58:D58"/>
    <mergeCell ref="AY58:AZ58"/>
    <mergeCell ref="B53:D53"/>
    <mergeCell ref="AY53:AZ53"/>
    <mergeCell ref="B54:D54"/>
    <mergeCell ref="AY54:AZ54"/>
    <mergeCell ref="B55:D55"/>
    <mergeCell ref="AY55:AZ55"/>
    <mergeCell ref="B50:D50"/>
    <mergeCell ref="AY50:AZ50"/>
    <mergeCell ref="B51:D51"/>
    <mergeCell ref="AY51:AZ51"/>
    <mergeCell ref="B52:D52"/>
    <mergeCell ref="AY52:AZ52"/>
    <mergeCell ref="B47:D47"/>
    <mergeCell ref="AY47:AZ47"/>
    <mergeCell ref="B48:D48"/>
    <mergeCell ref="AY48:AZ48"/>
    <mergeCell ref="B49:D49"/>
    <mergeCell ref="AY49:AZ49"/>
    <mergeCell ref="B44:D44"/>
    <mergeCell ref="AY44:AZ44"/>
    <mergeCell ref="B45:D45"/>
    <mergeCell ref="AY45:AZ45"/>
    <mergeCell ref="B46:D46"/>
    <mergeCell ref="AY46:AZ46"/>
    <mergeCell ref="B41:D41"/>
    <mergeCell ref="AY41:AZ41"/>
    <mergeCell ref="B42:D42"/>
    <mergeCell ref="AY42:AZ42"/>
    <mergeCell ref="B43:D43"/>
    <mergeCell ref="AY43:AZ43"/>
    <mergeCell ref="B38:D38"/>
    <mergeCell ref="AY38:AZ38"/>
    <mergeCell ref="B39:D39"/>
    <mergeCell ref="AY39:AZ39"/>
    <mergeCell ref="B40:D40"/>
    <mergeCell ref="AY40:AZ40"/>
    <mergeCell ref="B35:D35"/>
    <mergeCell ref="AY35:AZ35"/>
    <mergeCell ref="B36:D36"/>
    <mergeCell ref="AY36:AZ36"/>
    <mergeCell ref="B37:D37"/>
    <mergeCell ref="AY37:AZ37"/>
    <mergeCell ref="B32:D32"/>
    <mergeCell ref="AY32:AZ32"/>
    <mergeCell ref="B33:D33"/>
    <mergeCell ref="AY33:AZ33"/>
    <mergeCell ref="B34:D34"/>
    <mergeCell ref="AY34:AZ34"/>
    <mergeCell ref="B29:D29"/>
    <mergeCell ref="AY29:AZ29"/>
    <mergeCell ref="B30:D30"/>
    <mergeCell ref="AY30:AZ30"/>
    <mergeCell ref="B31:D31"/>
    <mergeCell ref="AY31:AZ31"/>
    <mergeCell ref="B26:D26"/>
    <mergeCell ref="AY26:AZ26"/>
    <mergeCell ref="B27:D27"/>
    <mergeCell ref="AY27:AZ27"/>
    <mergeCell ref="B28:D28"/>
    <mergeCell ref="AY28:AZ28"/>
    <mergeCell ref="B23:D23"/>
    <mergeCell ref="AY23:AZ23"/>
    <mergeCell ref="B24:D24"/>
    <mergeCell ref="AY24:AZ24"/>
    <mergeCell ref="B25:D25"/>
    <mergeCell ref="AY25:AZ25"/>
    <mergeCell ref="B20:D20"/>
    <mergeCell ref="AY20:AZ20"/>
    <mergeCell ref="B21:D21"/>
    <mergeCell ref="AY21:AZ21"/>
    <mergeCell ref="B22:D22"/>
    <mergeCell ref="AY22:AZ22"/>
    <mergeCell ref="B17:D17"/>
    <mergeCell ref="AY17:AZ17"/>
    <mergeCell ref="B18:D18"/>
    <mergeCell ref="AY18:AZ18"/>
    <mergeCell ref="B19:D19"/>
    <mergeCell ref="AY19:AZ19"/>
    <mergeCell ref="F11:H11"/>
    <mergeCell ref="B1:S1"/>
    <mergeCell ref="B14:D14"/>
    <mergeCell ref="AY14:AZ14"/>
    <mergeCell ref="B15:D15"/>
    <mergeCell ref="AY15:AZ15"/>
    <mergeCell ref="B16:D16"/>
    <mergeCell ref="AY16:AZ16"/>
    <mergeCell ref="B13:D13"/>
    <mergeCell ref="F13:Q13"/>
    <mergeCell ref="R13:AU13"/>
    <mergeCell ref="AV13:AX13"/>
    <mergeCell ref="AY13:AZ13"/>
    <mergeCell ref="F5:H5"/>
    <mergeCell ref="F6:H6"/>
    <mergeCell ref="F7:H7"/>
    <mergeCell ref="F8:H8"/>
    <mergeCell ref="F9:H9"/>
    <mergeCell ref="F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Uitgaven per fonds</vt:lpstr>
      <vt:lpstr>Dotatie per fonds</vt:lpstr>
      <vt:lpstr>Ledenbijdragen</vt:lpstr>
      <vt:lpstr>Basisblad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Pauw</dc:creator>
  <cp:lastModifiedBy>Henk Pauw</cp:lastModifiedBy>
  <cp:lastPrinted>2023-09-05T16:52:03Z</cp:lastPrinted>
  <dcterms:created xsi:type="dcterms:W3CDTF">2023-03-13T08:32:53Z</dcterms:created>
  <dcterms:modified xsi:type="dcterms:W3CDTF">2025-01-20T10:53:02Z</dcterms:modified>
</cp:coreProperties>
</file>