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e6b4d80ce760907/VvE/ALV 2022/"/>
    </mc:Choice>
  </mc:AlternateContent>
  <xr:revisionPtr revIDLastSave="10" documentId="8_{464E2FE5-0C24-424F-ADC7-702293D30261}" xr6:coauthVersionLast="47" xr6:coauthVersionMax="47" xr10:uidLastSave="{35CAA93F-87EE-4E1A-96C5-AD53F4937F4C}"/>
  <bookViews>
    <workbookView xWindow="-120" yWindow="-120" windowWidth="29040" windowHeight="15840" xr2:uid="{00000000-000D-0000-FFFF-FFFF00000000}"/>
  </bookViews>
  <sheets>
    <sheet name="MJOP 20 jaar" sheetId="2" r:id="rId1"/>
    <sheet name="Reserves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2" l="1"/>
  <c r="F85" i="2"/>
  <c r="F86" i="2"/>
  <c r="F87" i="2"/>
  <c r="F88" i="2"/>
  <c r="J32" i="7" l="1"/>
  <c r="M107" i="2"/>
  <c r="K85" i="2" l="1"/>
  <c r="G96" i="2" s="1"/>
  <c r="K86" i="2"/>
  <c r="G97" i="2" s="1"/>
  <c r="K87" i="2"/>
  <c r="G98" i="2" s="1"/>
  <c r="K88" i="2"/>
  <c r="G99" i="2" s="1"/>
  <c r="K84" i="2"/>
  <c r="K89" i="2" l="1"/>
  <c r="G95" i="2"/>
  <c r="G103" i="2" l="1"/>
  <c r="G105" i="2"/>
  <c r="G104" i="2"/>
  <c r="G89" i="2" l="1"/>
  <c r="R84" i="2"/>
  <c r="R85" i="2" s="1"/>
  <c r="S84" i="2"/>
  <c r="S85" i="2" s="1"/>
  <c r="S79" i="2"/>
  <c r="T84" i="2"/>
  <c r="T79" i="2"/>
  <c r="U79" i="2" s="1"/>
  <c r="U84" i="2"/>
  <c r="V84" i="2"/>
  <c r="W84" i="2"/>
  <c r="X84" i="2"/>
  <c r="Y84" i="2"/>
  <c r="Z84" i="2"/>
  <c r="AA84" i="2"/>
  <c r="AB84" i="2"/>
  <c r="AC84" i="2"/>
  <c r="AD84" i="2"/>
  <c r="AE84" i="2"/>
  <c r="AF84" i="2"/>
  <c r="AF99" i="2" s="1"/>
  <c r="AG84" i="2"/>
  <c r="AH84" i="2"/>
  <c r="AI84" i="2"/>
  <c r="AJ84" i="2"/>
  <c r="AK84" i="2"/>
  <c r="R87" i="2"/>
  <c r="R88" i="2" s="1"/>
  <c r="S87" i="2"/>
  <c r="S88" i="2" s="1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I99" i="2" s="1"/>
  <c r="AJ87" i="2"/>
  <c r="AK87" i="2"/>
  <c r="R90" i="2"/>
  <c r="R91" i="2" s="1"/>
  <c r="S90" i="2"/>
  <c r="S91" i="2" s="1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R93" i="2"/>
  <c r="R94" i="2" s="1"/>
  <c r="S93" i="2"/>
  <c r="S94" i="2"/>
  <c r="T93" i="2"/>
  <c r="T94" i="2" s="1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R96" i="2"/>
  <c r="R97" i="2" s="1"/>
  <c r="S96" i="2"/>
  <c r="S97" i="2" s="1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R77" i="2"/>
  <c r="R80" i="2" s="1"/>
  <c r="S77" i="2"/>
  <c r="S80" i="2" s="1"/>
  <c r="T77" i="2"/>
  <c r="U77" i="2"/>
  <c r="U80" i="2" s="1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S83" i="2"/>
  <c r="R83" i="2"/>
  <c r="AG99" i="2"/>
  <c r="AL87" i="2"/>
  <c r="E35" i="7"/>
  <c r="E32" i="7"/>
  <c r="I36" i="7"/>
  <c r="I35" i="7"/>
  <c r="J35" i="7"/>
  <c r="I34" i="7"/>
  <c r="I33" i="7"/>
  <c r="I32" i="7"/>
  <c r="E36" i="7"/>
  <c r="E34" i="7"/>
  <c r="E33" i="7"/>
  <c r="J33" i="7"/>
  <c r="I28" i="7"/>
  <c r="E28" i="7"/>
  <c r="D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AM77" i="2"/>
  <c r="AN77" i="2"/>
  <c r="AL78" i="2" s="1"/>
  <c r="AL77" i="2"/>
  <c r="I37" i="7"/>
  <c r="J28" i="7"/>
  <c r="J29" i="7"/>
  <c r="J36" i="7"/>
  <c r="J37" i="7"/>
  <c r="J34" i="7"/>
  <c r="E37" i="7"/>
  <c r="AL90" i="2" l="1"/>
  <c r="AL84" i="2"/>
  <c r="T80" i="2"/>
  <c r="U91" i="2"/>
  <c r="AK99" i="2"/>
  <c r="AC99" i="2"/>
  <c r="U99" i="2"/>
  <c r="U88" i="2"/>
  <c r="T97" i="2"/>
  <c r="T88" i="2"/>
  <c r="T85" i="2"/>
  <c r="T100" i="2" s="1"/>
  <c r="AJ99" i="2"/>
  <c r="F89" i="2"/>
  <c r="AA99" i="2"/>
  <c r="W99" i="2"/>
  <c r="AL93" i="2"/>
  <c r="X99" i="2"/>
  <c r="T91" i="2"/>
  <c r="S99" i="2"/>
  <c r="R99" i="2"/>
  <c r="S100" i="2"/>
  <c r="U85" i="2"/>
  <c r="Z99" i="2"/>
  <c r="R100" i="2"/>
  <c r="U94" i="2"/>
  <c r="V79" i="2"/>
  <c r="U97" i="2"/>
  <c r="AL96" i="2"/>
  <c r="AE99" i="2"/>
  <c r="Y99" i="2"/>
  <c r="V99" i="2"/>
  <c r="T99" i="2"/>
  <c r="AD99" i="2"/>
  <c r="AH99" i="2"/>
  <c r="AB99" i="2"/>
  <c r="AL99" i="2" l="1"/>
  <c r="W79" i="2"/>
  <c r="V85" i="2"/>
  <c r="V80" i="2"/>
  <c r="V88" i="2"/>
  <c r="V91" i="2"/>
  <c r="V97" i="2"/>
  <c r="V94" i="2"/>
  <c r="U100" i="2"/>
  <c r="V100" i="2" l="1"/>
  <c r="W94" i="2"/>
  <c r="W85" i="2"/>
  <c r="W97" i="2"/>
  <c r="X79" i="2"/>
  <c r="W80" i="2"/>
  <c r="W88" i="2"/>
  <c r="W91" i="2"/>
  <c r="X88" i="2" l="1"/>
  <c r="X91" i="2"/>
  <c r="Y79" i="2"/>
  <c r="X80" i="2"/>
  <c r="X97" i="2"/>
  <c r="X94" i="2"/>
  <c r="X85" i="2"/>
  <c r="W100" i="2"/>
  <c r="X100" i="2" l="1"/>
  <c r="Y94" i="2"/>
  <c r="Y97" i="2"/>
  <c r="Z79" i="2"/>
  <c r="Y91" i="2"/>
  <c r="Y85" i="2"/>
  <c r="Y88" i="2"/>
  <c r="Y80" i="2"/>
  <c r="Y100" i="2" l="1"/>
  <c r="AA79" i="2"/>
  <c r="Z91" i="2"/>
  <c r="Z85" i="2"/>
  <c r="Z80" i="2"/>
  <c r="Z88" i="2"/>
  <c r="Z94" i="2"/>
  <c r="Z97" i="2"/>
  <c r="AA94" i="2" l="1"/>
  <c r="AA85" i="2"/>
  <c r="AA97" i="2"/>
  <c r="AB79" i="2"/>
  <c r="AA80" i="2"/>
  <c r="AA88" i="2"/>
  <c r="AA91" i="2"/>
  <c r="Z100" i="2"/>
  <c r="AA100" i="2" l="1"/>
  <c r="AB88" i="2"/>
  <c r="AC79" i="2"/>
  <c r="AB80" i="2"/>
  <c r="AB91" i="2"/>
  <c r="AB97" i="2"/>
  <c r="AB94" i="2"/>
  <c r="AB85" i="2"/>
  <c r="AB100" i="2" s="1"/>
  <c r="AC94" i="2" l="1"/>
  <c r="AC97" i="2"/>
  <c r="AD79" i="2"/>
  <c r="AC91" i="2"/>
  <c r="AC88" i="2"/>
  <c r="AC85" i="2"/>
  <c r="AC80" i="2"/>
  <c r="AE79" i="2" l="1"/>
  <c r="AD91" i="2"/>
  <c r="AD85" i="2"/>
  <c r="AD80" i="2"/>
  <c r="AD88" i="2"/>
  <c r="AD94" i="2"/>
  <c r="AD97" i="2"/>
  <c r="AC100" i="2"/>
  <c r="AD100" i="2" l="1"/>
  <c r="AE94" i="2"/>
  <c r="AE85" i="2"/>
  <c r="AE97" i="2"/>
  <c r="AF79" i="2"/>
  <c r="AE80" i="2"/>
  <c r="AE88" i="2"/>
  <c r="AE91" i="2"/>
  <c r="AE100" i="2" l="1"/>
  <c r="AF88" i="2"/>
  <c r="AG79" i="2"/>
  <c r="AF80" i="2"/>
  <c r="AF91" i="2"/>
  <c r="AF97" i="2"/>
  <c r="AF94" i="2"/>
  <c r="AF85" i="2"/>
  <c r="AF100" i="2" l="1"/>
  <c r="AG94" i="2"/>
  <c r="AG97" i="2"/>
  <c r="AH79" i="2"/>
  <c r="AG91" i="2"/>
  <c r="AG85" i="2"/>
  <c r="AG80" i="2"/>
  <c r="AG88" i="2"/>
  <c r="AI79" i="2" l="1"/>
  <c r="AH80" i="2"/>
  <c r="AH88" i="2"/>
  <c r="AH91" i="2"/>
  <c r="AH94" i="2"/>
  <c r="AH85" i="2"/>
  <c r="AH97" i="2"/>
  <c r="AG100" i="2"/>
  <c r="AH100" i="2" l="1"/>
  <c r="AI94" i="2"/>
  <c r="AI85" i="2"/>
  <c r="AI97" i="2"/>
  <c r="AJ79" i="2"/>
  <c r="AI91" i="2"/>
  <c r="AI80" i="2"/>
  <c r="AI88" i="2"/>
  <c r="AI100" i="2" l="1"/>
  <c r="AJ91" i="2"/>
  <c r="AK79" i="2"/>
  <c r="AJ80" i="2"/>
  <c r="AJ88" i="2"/>
  <c r="AJ97" i="2"/>
  <c r="AJ94" i="2"/>
  <c r="AJ85" i="2"/>
  <c r="AJ100" i="2" l="1"/>
  <c r="AK94" i="2"/>
  <c r="AL94" i="2" s="1"/>
  <c r="AK97" i="2"/>
  <c r="AL97" i="2" s="1"/>
  <c r="AK91" i="2"/>
  <c r="AL91" i="2" s="1"/>
  <c r="AK85" i="2"/>
  <c r="AK80" i="2"/>
  <c r="AL80" i="2" s="1"/>
  <c r="AM80" i="2" s="1"/>
  <c r="AK88" i="2"/>
  <c r="AL88" i="2" s="1"/>
  <c r="E86" i="2" l="1"/>
  <c r="H86" i="2" s="1"/>
  <c r="I86" i="2" s="1"/>
  <c r="F97" i="2" s="1"/>
  <c r="H97" i="2" s="1"/>
  <c r="AM91" i="2"/>
  <c r="E85" i="2"/>
  <c r="H85" i="2" s="1"/>
  <c r="I85" i="2" s="1"/>
  <c r="F96" i="2" s="1"/>
  <c r="H96" i="2" s="1"/>
  <c r="AM88" i="2"/>
  <c r="E88" i="2"/>
  <c r="H88" i="2" s="1"/>
  <c r="I88" i="2" s="1"/>
  <c r="F99" i="2" s="1"/>
  <c r="AM97" i="2"/>
  <c r="AK100" i="2"/>
  <c r="AL100" i="2" s="1"/>
  <c r="AM100" i="2" s="1"/>
  <c r="AL85" i="2"/>
  <c r="E87" i="2"/>
  <c r="H87" i="2" s="1"/>
  <c r="I87" i="2" s="1"/>
  <c r="F98" i="2" s="1"/>
  <c r="H98" i="2" s="1"/>
  <c r="AM94" i="2"/>
  <c r="E84" i="2" l="1"/>
  <c r="AM85" i="2"/>
  <c r="H84" i="2" l="1"/>
  <c r="E89" i="2"/>
  <c r="H89" i="2" l="1"/>
  <c r="I84" i="2"/>
  <c r="I89" i="2" l="1"/>
  <c r="F95" i="2"/>
  <c r="F104" i="2" l="1"/>
  <c r="H104" i="2" s="1"/>
  <c r="J104" i="2" s="1"/>
  <c r="F103" i="2"/>
  <c r="H103" i="2" s="1"/>
  <c r="J103" i="2" s="1"/>
  <c r="H95" i="2"/>
  <c r="H99" i="2" s="1"/>
  <c r="F105" i="2"/>
  <c r="H105" i="2" s="1"/>
  <c r="J105" i="2" s="1"/>
</calcChain>
</file>

<file path=xl/sharedStrings.xml><?xml version="1.0" encoding="utf-8"?>
<sst xmlns="http://schemas.openxmlformats.org/spreadsheetml/2006/main" count="615" uniqueCount="261">
  <si>
    <t>Uitgangspunten:</t>
  </si>
  <si>
    <t>Toeslagen:</t>
  </si>
  <si>
    <r>
      <rPr>
        <b/>
        <sz val="11"/>
        <color rgb="FF000000"/>
        <rFont val="Calibri"/>
        <family val="2"/>
      </rPr>
      <t>Condities</t>
    </r>
    <r>
      <rPr>
        <sz val="11"/>
        <color rgb="FF000000"/>
        <rFont val="Calibri"/>
        <family val="2"/>
      </rPr>
      <t xml:space="preserve"> (volgens </t>
    </r>
    <r>
      <rPr>
        <b/>
        <sz val="11"/>
        <color rgb="FF000000"/>
        <rFont val="Calibri"/>
        <family val="2"/>
      </rPr>
      <t>Nen</t>
    </r>
    <r>
      <rPr>
        <sz val="11"/>
        <color rgb="FF000000"/>
        <rFont val="Calibri"/>
        <family val="2"/>
      </rPr>
      <t xml:space="preserve"> 2767):</t>
    </r>
  </si>
  <si>
    <t>Legenda:</t>
  </si>
  <si>
    <t>Startjaar planning</t>
  </si>
  <si>
    <t>:</t>
  </si>
  <si>
    <t>Begeleidings-/advieskosten:</t>
  </si>
  <si>
    <t>7%</t>
  </si>
  <si>
    <t>0: N.v.t</t>
  </si>
  <si>
    <t>Co.</t>
  </si>
  <si>
    <t>: Conditie (conform NEN2767)</t>
  </si>
  <si>
    <t>Valuta</t>
  </si>
  <si>
    <t>Euro</t>
  </si>
  <si>
    <t>BTW:</t>
  </si>
  <si>
    <t>Inclusief</t>
  </si>
  <si>
    <t>1: Uitstekende conditie</t>
  </si>
  <si>
    <t>Cy.</t>
  </si>
  <si>
    <t>: Onderhoudscyclus</t>
  </si>
  <si>
    <t>Prijspeil</t>
  </si>
  <si>
    <t>2: Goede conditie</t>
  </si>
  <si>
    <t>Ehd.</t>
  </si>
  <si>
    <t>: Eenheid</t>
  </si>
  <si>
    <t>3: Redelijke conditie</t>
  </si>
  <si>
    <t>%</t>
  </si>
  <si>
    <t>: Uit te voeren hoeveelheid (t.o.v. totaal)</t>
  </si>
  <si>
    <t>4: Matige conditie</t>
  </si>
  <si>
    <t>5: Slechte conditie</t>
  </si>
  <si>
    <t>6: Zeer slechte conditie</t>
  </si>
  <si>
    <t>Omschrijving</t>
  </si>
  <si>
    <t>Kenmerken</t>
  </si>
  <si>
    <t>Planning</t>
  </si>
  <si>
    <t>Opmerkingen/toelichting</t>
  </si>
  <si>
    <t>Aantal</t>
  </si>
  <si>
    <t>€/ehd</t>
  </si>
  <si>
    <t>BTW</t>
  </si>
  <si>
    <t>Totaalprijs</t>
  </si>
  <si>
    <t>Gevels</t>
  </si>
  <si>
    <t>Hang- en sluitwerk buitenkozijnen inspecteren/repareren</t>
  </si>
  <si>
    <t>pst</t>
  </si>
  <si>
    <t>21%</t>
  </si>
  <si>
    <t>Inspecteren/repareren hang- en sluitwerk (inschatting).</t>
  </si>
  <si>
    <t>Daken</t>
  </si>
  <si>
    <t>Interieur</t>
  </si>
  <si>
    <t>Installaties</t>
  </si>
  <si>
    <t>Gasdetectie-installatie; diverse onderdelen vervangen</t>
  </si>
  <si>
    <t>Revisie lagers, vervangen LPG sensoren en noodstroomvoorziening (conform opgave Novenco).</t>
  </si>
  <si>
    <t>Decentrale noodstroomverlichting, accu's vervangen</t>
  </si>
  <si>
    <t>stk</t>
  </si>
  <si>
    <t>De noodstroomaccu's.</t>
  </si>
  <si>
    <t>Personenlift, diverse onderdelen vervangen</t>
  </si>
  <si>
    <t>De accu (conform opgave Aesy Liften).</t>
  </si>
  <si>
    <t>V-snaren en landingscontacten (conform opgave Aesy Liften).</t>
  </si>
  <si>
    <t>Diversen</t>
  </si>
  <si>
    <t>Totaal incl. BTW &amp; incl. begeleidingskosten</t>
  </si>
  <si>
    <t>Meerjarenonderhoudsplanning (20 jaar)</t>
  </si>
  <si>
    <t>Statistieken</t>
  </si>
  <si>
    <t>Begin</t>
  </si>
  <si>
    <t>Eind</t>
  </si>
  <si>
    <t>Gem./jaar</t>
  </si>
  <si>
    <t>Gem. oneindig</t>
  </si>
  <si>
    <t>Totaal</t>
  </si>
  <si>
    <t>Buitenkozijnen (aluminium, inclusief bewegende delen) vervangen</t>
  </si>
  <si>
    <t>m²</t>
  </si>
  <si>
    <t>De aluminium kozijnen in de gevels.</t>
  </si>
  <si>
    <t>Buitenwandafwerking (composiet houten gevelbekleding) vervangen</t>
  </si>
  <si>
    <t>De gevelbekleding (BG).</t>
  </si>
  <si>
    <t>Metselwerk - baksteen (buiten) herstellen</t>
  </si>
  <si>
    <t>Post t.b.v. herstellen/vervangen steenstrips (inc. inzet hoogwerker).</t>
  </si>
  <si>
    <t xml:space="preserve">Steigerwerk/bereikbaarheid (tijdelijk)   </t>
  </si>
  <si>
    <t>Bereikbaarheidsvoorzieningen t.b.v. dakwerkzaamheden.</t>
  </si>
  <si>
    <t>Aanlijnbeveiliging aanbrengen/vernieuwen</t>
  </si>
  <si>
    <t>Vervangen aanlijnbeveiliging (inschatting).</t>
  </si>
  <si>
    <t>Vlakke dakafwerkingen (bitumen, APP, incl. ballastlaag, &gt;200 m2) overlagen</t>
  </si>
  <si>
    <t>Dakafwerking hoogst gelegen dakvlak (over beataand aanbrengen).</t>
  </si>
  <si>
    <t>Vlakke dakafwerkingen (bitumen, APP, incl. ballastlaag, &gt;200 m2) vervangen</t>
  </si>
  <si>
    <t>Dakafwerking hoogst gelegen dakvlak (volledig vernieuwen)</t>
  </si>
  <si>
    <t>Drainagetegels (beton) vervangen</t>
  </si>
  <si>
    <t>De betontegels t.p.v. het gemeenschappelijke dakterras.</t>
  </si>
  <si>
    <t>Galerij VD1 en dakterrassen VD1 en VD2 (over bestaand aanbrengen).</t>
  </si>
  <si>
    <t>Galerij VD1 en dakterrassen VD1 en VD2 (volledig vernieuwen).</t>
  </si>
  <si>
    <t>Betontegels t.p.v. galerij VD1 en dakterrassen VD1 en VD2.</t>
  </si>
  <si>
    <t>Sedumdak vervangen</t>
  </si>
  <si>
    <t>De sedum afwerking t.p.v. daken VD1 en VD2.</t>
  </si>
  <si>
    <t>Vlakke dakafwerkingen (bitumen) vervangen</t>
  </si>
  <si>
    <t>De bitumineuze afwerking t.p.v. de sedum daken.</t>
  </si>
  <si>
    <t>Lichtkoepel vervangen</t>
  </si>
  <si>
    <t>De lichtkoepel.</t>
  </si>
  <si>
    <t>Binnendeurkozijnen (hout, exclusief deuren) schilderen</t>
  </si>
  <si>
    <t>9%</t>
  </si>
  <si>
    <t>De deuren op de begane grond.</t>
  </si>
  <si>
    <t>Binnenwandafwerking (stucwerk/spuitwerk) schilderen; texwerk</t>
  </si>
  <si>
    <t>De wandafwerking t.p.v. de gemeenschappelijke ruimten (25% van totaal).</t>
  </si>
  <si>
    <t>Volledige schilderbeurt wandafwerking gemeenschappelijke ruimten.</t>
  </si>
  <si>
    <t>Vloerafwerking; kitwerk vervangen</t>
  </si>
  <si>
    <t>m¹</t>
  </si>
  <si>
    <t>Het kitwerk t.p.v. de balkon- en de galerijvloeren.</t>
  </si>
  <si>
    <t>Schoonloopmat vervangen</t>
  </si>
  <si>
    <t>De schoonloopmat t.p.v. gemeenschappelijk entree.</t>
  </si>
  <si>
    <t>Vloerafwerking - belijning aanbrengen/herstellen</t>
  </si>
  <si>
    <t>De belijning in de parkeergarage.</t>
  </si>
  <si>
    <t>Plafondafwerking (stucwerk/spuitwerk) schilderen; texwerk</t>
  </si>
  <si>
    <t>De plafondafwerking in het portiek.</t>
  </si>
  <si>
    <t>Postkastunit (binnenopsteling) vervangen</t>
  </si>
  <si>
    <t>De postkasten nabij de entree.</t>
  </si>
  <si>
    <t>Deurdranger (interieur) vervangen</t>
  </si>
  <si>
    <t>De deurdrangers (interieur).</t>
  </si>
  <si>
    <t>Vervangen overheaddeuren.</t>
  </si>
  <si>
    <t>Binnenriolering - standleiding reinigen</t>
  </si>
  <si>
    <t>Reinigen standleidingen (inschatting).</t>
  </si>
  <si>
    <t>Vuilwaterafvoerpomp vervangen</t>
  </si>
  <si>
    <t>De vuilwaterpomp.</t>
  </si>
  <si>
    <t>Drukverhogingsinstallatie (tweepomps-systeem) vervangen</t>
  </si>
  <si>
    <t>Het drukverhogingssysteem.</t>
  </si>
  <si>
    <t>Elektrische boiler (10 liter) vervangen</t>
  </si>
  <si>
    <t>De boiler.</t>
  </si>
  <si>
    <t>Luchtbehandeling (diversen) onderhouden</t>
  </si>
  <si>
    <t>De luchtbehandelingkast op het dak (inschatting).</t>
  </si>
  <si>
    <t>Vervangen accu's (conform opgave Novenco).</t>
  </si>
  <si>
    <t>Vervangen CO sensoren (conform opgave Novenco).</t>
  </si>
  <si>
    <t>Vervangen schakelkast/systeem (conform opgave Novenco).</t>
  </si>
  <si>
    <t>Vervangen schakelkast en ventilatoren (conform opgave Novenco).</t>
  </si>
  <si>
    <t>Stroomopwekking; zonnepanelen de- en hermonteren</t>
  </si>
  <si>
    <t>Post t.b.v. de- en hermonteren zonnepanelen.</t>
  </si>
  <si>
    <t>Stroomopwekking; zonnepanelen vervangen</t>
  </si>
  <si>
    <t>De zonnenpanelen.</t>
  </si>
  <si>
    <t>Stroomopwekking (zonnepanelen); omvormers vervangen</t>
  </si>
  <si>
    <t>De omvormer.</t>
  </si>
  <si>
    <t>Verlichting, armaturen vervangen</t>
  </si>
  <si>
    <t>De armaturen (exterieur).</t>
  </si>
  <si>
    <t>De armaturen (interieur).</t>
  </si>
  <si>
    <t>Decentrale noodverlichtingsarmaturen vervangen</t>
  </si>
  <si>
    <t>De noodstroomarmaturen.</t>
  </si>
  <si>
    <t>Droge stijgleidingen beproeven/controleren</t>
  </si>
  <si>
    <t>Post t.b.v. beproeven/controleren droge blusleiding.</t>
  </si>
  <si>
    <t>Bellentableau vervangen</t>
  </si>
  <si>
    <t>Het bellentableau nabij de entree.</t>
  </si>
  <si>
    <t>Bellentableau; huisinstallatie (beeldspraak) vervangen</t>
  </si>
  <si>
    <t>De installatie in de woningen.</t>
  </si>
  <si>
    <t>Alarmprint, geleider sloffen (conform opgave Aesy Liften).</t>
  </si>
  <si>
    <t>Motor (conform opgave Aesy Liften).</t>
  </si>
  <si>
    <t>Moer (conform opgave Aesy Liften).</t>
  </si>
  <si>
    <t>Noodvoeding kooi (conform opgave Orona).</t>
  </si>
  <si>
    <t>Regeling, deurrollen, -kabels, -sloffen, lichtlijst, buffers, fotocel, sloffen/voering/smering (conform opgave Orona).</t>
  </si>
  <si>
    <t>Deuraandrijving, kooitableau spreekluisterunit, schachttableaus, etagestandaanwijzing BG, snelheidsbegrenzer, spanwiel, kabel snelheidsbegrenzer (conform opgave Orona).</t>
  </si>
  <si>
    <t>Hoofdstroomrelais, stuurstroomrelais, schachtinformatie, tractieschijf, omleidwielen, draagkabels (conform opgave Orona).</t>
  </si>
  <si>
    <t>Besturing, aandrijving compleet, juk&amp; TG-sloffen/voering/smering, kooibekleding (conform opgave Orona).</t>
  </si>
  <si>
    <t>automatische kooi- en schachtdeur, vanginrichting (conform opgave Orona).</t>
  </si>
  <si>
    <t xml:space="preserve">Herinspectie / actualisatie MJOP   </t>
  </si>
  <si>
    <t>Herinspectie (op basis van reeds aanwezige gegevens).</t>
  </si>
  <si>
    <t>P</t>
  </si>
  <si>
    <t>A</t>
  </si>
  <si>
    <t>Correctie inflatie</t>
  </si>
  <si>
    <t>Per jaar</t>
  </si>
  <si>
    <t>Parkeren</t>
  </si>
  <si>
    <t>Saldo</t>
  </si>
  <si>
    <t>Verschil</t>
  </si>
  <si>
    <t>AP</t>
  </si>
  <si>
    <t>EA</t>
  </si>
  <si>
    <t>EAC</t>
  </si>
  <si>
    <t>Alles,  appartementen, comerciele ruimten en bergingen</t>
  </si>
  <si>
    <t>Alle appartemenen en bergingen</t>
  </si>
  <si>
    <t>Alleen etage Appartementen (dus excl. 2 laagbouw app. en commercieel)</t>
  </si>
  <si>
    <t>Etage appartementen + commerciele ruimtes (dus excl. 2 laagbouw)</t>
  </si>
  <si>
    <r>
      <rPr>
        <i/>
        <sz val="11"/>
        <color rgb="FF000000"/>
        <rFont val="Calibri"/>
        <family val="2"/>
      </rPr>
      <t>Hefplateau</t>
    </r>
    <r>
      <rPr>
        <sz val="11"/>
        <color rgb="FF000000"/>
        <rFont val="Calibri"/>
        <family val="2"/>
      </rPr>
      <t xml:space="preserve"> Personenlift, diverse onderdelen vervangen</t>
    </r>
  </si>
  <si>
    <t>Vds: verdeelsleutels</t>
  </si>
  <si>
    <t>GBR</t>
  </si>
  <si>
    <t>Naam</t>
  </si>
  <si>
    <t>Eindbalans D</t>
  </si>
  <si>
    <t>Eindbalans C</t>
  </si>
  <si>
    <t>Dotatie boekjaar 2021-2022</t>
  </si>
  <si>
    <t>Saldo 22-23</t>
  </si>
  <si>
    <t>Reservefonds daktuin / terras hoogbouw</t>
  </si>
  <si>
    <t>Breukdeel app.</t>
  </si>
  <si>
    <t>Reservefonds (nood)trappenhuis en binnenportalen</t>
  </si>
  <si>
    <t>Reservefonds vloerafwerking lifthallen</t>
  </si>
  <si>
    <t>Reservefonds brievenbussen</t>
  </si>
  <si>
    <t>Breukdeel etage app.</t>
  </si>
  <si>
    <t>Reservefonds lift</t>
  </si>
  <si>
    <t>Reservefonds video / intercom</t>
  </si>
  <si>
    <t>Reservefonds camerabeveiliging</t>
  </si>
  <si>
    <t>Reservefonds dak hoogbouw</t>
  </si>
  <si>
    <t>Breukdeel excl. pp NA WIJZIGING AKTE</t>
  </si>
  <si>
    <t>Reservefonds dak laagbouw</t>
  </si>
  <si>
    <t>Reservefonds gevels (voegwerk)</t>
  </si>
  <si>
    <t>Reservefonds binnenschilderwerk deuren / kozijnen</t>
  </si>
  <si>
    <t>Reservefonds hekwerken gevels balkons</t>
  </si>
  <si>
    <t>Reservefonds alu gevels</t>
  </si>
  <si>
    <t>Reservefonds overige technische installaties</t>
  </si>
  <si>
    <t>Reservefonds hydrofoor</t>
  </si>
  <si>
    <t>Reservefonds riolering</t>
  </si>
  <si>
    <t>Reservefonds zonnepanelen</t>
  </si>
  <si>
    <t>Reservefonds algemeen</t>
  </si>
  <si>
    <t>Reservefonds LBK</t>
  </si>
  <si>
    <t>Breukdeel LBK NA WIJZIGING AKTE</t>
  </si>
  <si>
    <t>Reservefonds parkeervoorzieningen</t>
  </si>
  <si>
    <t>Gelijkdeel pp</t>
  </si>
  <si>
    <t>Reservefonds vuilwaterpomp</t>
  </si>
  <si>
    <t>Reservefonds hefplateau</t>
  </si>
  <si>
    <t>Reservefonds vloer parkeergarage</t>
  </si>
  <si>
    <t>Reservefonds garagedeur</t>
  </si>
  <si>
    <t>Reservefonds ventilatie voorzieningen garage</t>
  </si>
  <si>
    <t>Breukdeel excl. pp NA WIJZIGING AKTE (369)</t>
  </si>
  <si>
    <t>Alle appartementen, commerciele ruimten en bergingen</t>
  </si>
  <si>
    <t>Breukdeel app. (349)</t>
  </si>
  <si>
    <t>Alle appartementen en bergingen</t>
  </si>
  <si>
    <t>Breukdeel etage app. (324)</t>
  </si>
  <si>
    <t>Alle appartementen en bergingen (excl. index 1, 2, 70 en 71)</t>
  </si>
  <si>
    <t>Breukdeel LBK NA WIJZIGING AKTE (344)</t>
  </si>
  <si>
    <t>Gelijkdeel pp (29)</t>
  </si>
  <si>
    <t>Alle parkeerplaatsen</t>
  </si>
  <si>
    <t>Verdeelsleutel Nu</t>
  </si>
  <si>
    <t>Alle appart, commerc ruimten bergingen(excl.index1,2,70,71)</t>
  </si>
  <si>
    <t>Zie Toelichting 2</t>
  </si>
  <si>
    <t>Zie toelichting 1</t>
  </si>
  <si>
    <t>Zie toelichting 3</t>
  </si>
  <si>
    <t>Legenda verdeelsleutels</t>
  </si>
  <si>
    <t>Reserves per 1-11-2021</t>
  </si>
  <si>
    <t>Dotatie 2022</t>
  </si>
  <si>
    <t>Saldo 1-11-22</t>
  </si>
  <si>
    <t>Huidige reserves per 1 nov 22</t>
  </si>
  <si>
    <t>Inflatie</t>
  </si>
  <si>
    <t xml:space="preserve">: </t>
  </si>
  <si>
    <t>zie onderaan</t>
  </si>
  <si>
    <t>Gehanteerde inflatie</t>
  </si>
  <si>
    <t>Dus voorstel: laten vervallen en saldo toedelen aan casco/allen</t>
  </si>
  <si>
    <t>Voor daktuin zijn geen grote investeringen gedaan en geen groot onderhoud voorzien</t>
  </si>
  <si>
    <t>Nodig</t>
  </si>
  <si>
    <t>Was</t>
  </si>
  <si>
    <t>Etage appartementen</t>
  </si>
  <si>
    <t>Verdeelsleutel Wordt</t>
  </si>
  <si>
    <t>Zie boven</t>
  </si>
  <si>
    <t>Na index</t>
  </si>
  <si>
    <r>
      <t>Overheaddeur (elektrisch bedienbaar) vervangen</t>
    </r>
    <r>
      <rPr>
        <sz val="11"/>
        <color rgb="FFFF0000"/>
        <rFont val="Calibri"/>
        <family val="2"/>
      </rPr>
      <t xml:space="preserve">   =P?????</t>
    </r>
  </si>
  <si>
    <t>TOTAAL</t>
  </si>
  <si>
    <t>Verdeelsl.</t>
  </si>
  <si>
    <t>Alleen etage Appartementen (dus excl. 2 laagb)</t>
  </si>
  <si>
    <t>Etage appartementen + commerciel (dus excl. 2 laagb)</t>
  </si>
  <si>
    <t>Reserve</t>
  </si>
  <si>
    <t>Totaaloverzicht</t>
  </si>
  <si>
    <t>Toedeling naar verdeelsleutels incl. inflatie</t>
  </si>
  <si>
    <t>VDS</t>
  </si>
  <si>
    <t>Correctie</t>
  </si>
  <si>
    <t>Oude definitie</t>
  </si>
  <si>
    <t>Nieuwe</t>
  </si>
  <si>
    <t>Verdeel</t>
  </si>
  <si>
    <t>Sleutel</t>
  </si>
  <si>
    <t>gebaseerd op verdeelsleutels in kolom A</t>
  </si>
  <si>
    <t>Wordt</t>
  </si>
  <si>
    <t>Allen</t>
  </si>
  <si>
    <t>Etage en commercieel</t>
  </si>
  <si>
    <t>Alle appartementen</t>
  </si>
  <si>
    <t>Per saldo etage appartem.</t>
  </si>
  <si>
    <t>Per saldo 2 laagb.app.</t>
  </si>
  <si>
    <t>Per saldo commercieel</t>
  </si>
  <si>
    <t>Ruwe berekening per soort VvE-lid</t>
  </si>
  <si>
    <t>Ruwe berekening indiv. mutaties per verdeelsleutel</t>
  </si>
  <si>
    <t>p.mnd</t>
  </si>
  <si>
    <t>De totale stijging jaarlijkse dotatie is 3,978 (25,753-21,775), gedeeld door 35 eenheden is per eenheid 114</t>
  </si>
  <si>
    <t>Dat is pakweg 10 Euro per maand. Verdere verschil per soort eenheid wordt veroorzaakt door verschuiving in verdeelsleutel</t>
  </si>
  <si>
    <t>per jaar</t>
  </si>
  <si>
    <t>Min 1543 onttrekking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</si>
</sst>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_);_(&quot;€&quot;* \(#,##0\);_(&quot;€&quot;* &quot;-&quot;??_);_(@_)"/>
    <numFmt numFmtId="165" formatCode="_(&quot;&quot;* #,##0_);_(&quot;&quot;* \(#,##0.00\);_(&quot;&quot;* #,##0_);_(@_)"/>
    <numFmt numFmtId="166" formatCode="_(&quot;€&quot;* #,##0_);_(&quot;€&quot;* \(#,##0.00\);_(&quot;€&quot;* #,##0_);_(@_)"/>
  </numFmts>
  <fonts count="4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u/>
      <sz val="20"/>
      <color rgb="FF3DC0B3"/>
      <name val="Calibri"/>
      <family val="2"/>
    </font>
    <font>
      <b/>
      <sz val="11"/>
      <color rgb="FF000000"/>
      <name val="Calibri"/>
      <family val="2"/>
    </font>
    <font>
      <b/>
      <sz val="13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2A3F54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FF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6"/>
      <color rgb="FF000000"/>
      <name val="Calibri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FFFFFF"/>
      <name val="Calibri"/>
      <family val="2"/>
    </font>
    <font>
      <b/>
      <sz val="11"/>
      <color rgb="FFFF000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D0D0D0"/>
        <bgColor rgb="FF000000"/>
      </patternFill>
    </fill>
    <fill>
      <patternFill patternType="solid">
        <fgColor rgb="FF2A3F54"/>
        <bgColor rgb="FF000000"/>
      </patternFill>
    </fill>
    <fill>
      <patternFill patternType="solid">
        <fgColor rgb="FF3DC0B3"/>
        <bgColor rgb="FF000000"/>
      </patternFill>
    </fill>
    <fill>
      <patternFill patternType="solid">
        <fgColor rgb="FFF9F9F9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5BB75B"/>
        <bgColor rgb="FF000000"/>
      </patternFill>
    </fill>
    <fill>
      <patternFill patternType="solid">
        <fgColor rgb="FFC5D84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9000"/>
        <bgColor rgb="FF000000"/>
      </patternFill>
    </fill>
    <fill>
      <patternFill patternType="solid">
        <fgColor rgb="FFD9534E"/>
        <bgColor rgb="FF000000"/>
      </patternFill>
    </fill>
    <fill>
      <patternFill patternType="solid">
        <fgColor rgb="FFC53B3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</fills>
  <borders count="71">
    <border>
      <left/>
      <right/>
      <top/>
      <bottom/>
      <diagonal/>
    </border>
    <border>
      <left style="thin">
        <color rgb="FF444444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/>
      <right style="thin">
        <color rgb="FF444444"/>
      </right>
      <top/>
      <bottom/>
      <diagonal/>
    </border>
    <border>
      <left/>
      <right/>
      <top/>
      <bottom style="thin">
        <color rgb="FF444444"/>
      </bottom>
      <diagonal/>
    </border>
    <border>
      <left style="thin">
        <color rgb="FF444444"/>
      </left>
      <right/>
      <top/>
      <bottom/>
      <diagonal/>
    </border>
    <border>
      <left/>
      <right/>
      <top style="thin">
        <color rgb="FF444444"/>
      </top>
      <bottom/>
      <diagonal/>
    </border>
    <border>
      <left style="thin">
        <color rgb="FF444444"/>
      </left>
      <right style="thick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ck">
        <color rgb="FF000000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 style="thick">
        <color rgb="FF000000"/>
      </right>
      <top style="thin">
        <color rgb="FF444444"/>
      </top>
      <bottom style="thin">
        <color rgb="FF44444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indexed="64"/>
      </top>
      <bottom style="double">
        <color indexed="6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/>
      <diagonal/>
    </border>
    <border>
      <left style="thin">
        <color rgb="FFE4E4E4"/>
      </left>
      <right style="thin">
        <color rgb="FFE4E4E4"/>
      </right>
      <top/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indexed="64"/>
      </top>
      <bottom style="thin">
        <color indexed="64"/>
      </bottom>
      <diagonal/>
    </border>
    <border>
      <left style="thin">
        <color rgb="FFE4E4E4"/>
      </left>
      <right style="thin">
        <color rgb="FFE4E4E4"/>
      </right>
      <top style="thin">
        <color indexed="64"/>
      </top>
      <bottom style="thin">
        <color indexed="64"/>
      </bottom>
      <diagonal/>
    </border>
    <border>
      <left style="thin">
        <color rgb="FFE4E4E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indexed="64"/>
      </bottom>
      <diagonal/>
    </border>
    <border>
      <left style="thin">
        <color rgb="FFE4E4E4"/>
      </left>
      <right style="thin">
        <color rgb="FFE4E4E4"/>
      </right>
      <top/>
      <bottom/>
      <diagonal/>
    </border>
    <border>
      <left style="thin">
        <color rgb="FFE4E4E4"/>
      </left>
      <right style="thin">
        <color rgb="FFE4E4E4"/>
      </right>
      <top style="medium">
        <color indexed="64"/>
      </top>
      <bottom style="thin">
        <color rgb="FFE4E4E4"/>
      </bottom>
      <diagonal/>
    </border>
    <border>
      <left style="thin">
        <color rgb="FFE4E4E4"/>
      </left>
      <right style="medium">
        <color indexed="64"/>
      </right>
      <top style="medium">
        <color indexed="64"/>
      </top>
      <bottom style="thin">
        <color rgb="FFE4E4E4"/>
      </bottom>
      <diagonal/>
    </border>
    <border>
      <left style="thin">
        <color rgb="FFE4E4E4"/>
      </left>
      <right style="medium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medium">
        <color indexed="64"/>
      </right>
      <top style="thin">
        <color rgb="FFE4E4E4"/>
      </top>
      <bottom/>
      <diagonal/>
    </border>
    <border>
      <left style="medium">
        <color indexed="64"/>
      </left>
      <right style="thin">
        <color rgb="FFE4E4E4"/>
      </right>
      <top style="thin">
        <color rgb="FFE4E4E4"/>
      </top>
      <bottom style="medium">
        <color indexed="6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medium">
        <color indexed="64"/>
      </bottom>
      <diagonal/>
    </border>
    <border>
      <left style="thin">
        <color rgb="FFE4E4E4"/>
      </left>
      <right style="thin">
        <color rgb="FFE4E4E4"/>
      </right>
      <top/>
      <bottom style="medium">
        <color indexed="64"/>
      </bottom>
      <diagonal/>
    </border>
    <border>
      <left style="thin">
        <color rgb="FFE4E4E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medium">
        <color indexed="64"/>
      </right>
      <top style="thin">
        <color rgb="FFE4E4E4"/>
      </top>
      <bottom style="thin">
        <color indexed="64"/>
      </bottom>
      <diagonal/>
    </border>
    <border>
      <left style="thin">
        <color rgb="FFE4E4E4"/>
      </left>
      <right style="thin">
        <color rgb="FFE4E4E4"/>
      </right>
      <top style="thin">
        <color indexed="64"/>
      </top>
      <bottom style="medium">
        <color indexed="64"/>
      </bottom>
      <diagonal/>
    </border>
    <border>
      <left style="thin">
        <color rgb="FFE4E4E4"/>
      </left>
      <right style="medium">
        <color indexed="64"/>
      </right>
      <top/>
      <bottom style="medium">
        <color indexed="64"/>
      </bottom>
      <diagonal/>
    </border>
    <border>
      <left style="thin">
        <color rgb="FFE4E4E4"/>
      </left>
      <right style="medium">
        <color indexed="64"/>
      </right>
      <top/>
      <bottom style="thin">
        <color rgb="FFE4E4E4"/>
      </bottom>
      <diagonal/>
    </border>
    <border>
      <left style="medium">
        <color indexed="64"/>
      </left>
      <right style="thin">
        <color rgb="FFE4E4E4"/>
      </right>
      <top style="medium">
        <color indexed="64"/>
      </top>
      <bottom style="thin">
        <color indexed="64"/>
      </bottom>
      <diagonal/>
    </border>
    <border>
      <left style="thin">
        <color rgb="FFE4E4E4"/>
      </left>
      <right style="thin">
        <color rgb="FFE4E4E4"/>
      </right>
      <top style="medium">
        <color indexed="64"/>
      </top>
      <bottom style="thin">
        <color indexed="64"/>
      </bottom>
      <diagonal/>
    </border>
    <border>
      <left style="thin">
        <color rgb="FFE4E4E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E4E4E4"/>
      </left>
      <right/>
      <top style="thin">
        <color rgb="FFE4E4E4"/>
      </top>
      <bottom/>
      <diagonal/>
    </border>
    <border>
      <left style="thin">
        <color rgb="FFE4E4E4"/>
      </left>
      <right/>
      <top/>
      <bottom style="thin">
        <color rgb="FFE4E4E4"/>
      </bottom>
      <diagonal/>
    </border>
    <border>
      <left style="thin">
        <color rgb="FF44444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444444"/>
      </right>
      <top/>
      <bottom style="thin">
        <color rgb="FF44444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24" applyNumberFormat="0" applyAlignment="0" applyProtection="0"/>
    <xf numFmtId="0" fontId="23" fillId="20" borderId="25" applyNumberFormat="0" applyAlignment="0" applyProtection="0"/>
    <xf numFmtId="0" fontId="24" fillId="20" borderId="24" applyNumberFormat="0" applyAlignment="0" applyProtection="0"/>
    <xf numFmtId="0" fontId="25" fillId="0" borderId="26" applyNumberFormat="0" applyFill="0" applyAlignment="0" applyProtection="0"/>
    <xf numFmtId="0" fontId="26" fillId="21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9" applyNumberFormat="0" applyFill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2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2" borderId="28" applyNumberFormat="0" applyFont="0" applyAlignment="0" applyProtection="0"/>
  </cellStyleXfs>
  <cellXfs count="263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6" borderId="1" xfId="0" applyFill="1" applyBorder="1" applyAlignment="1">
      <alignment vertical="top"/>
    </xf>
    <xf numFmtId="49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vertical="top"/>
    </xf>
    <xf numFmtId="164" fontId="0" fillId="0" borderId="1" xfId="0" applyNumberFormat="1" applyBorder="1" applyAlignment="1">
      <alignment vertical="top"/>
    </xf>
    <xf numFmtId="9" fontId="0" fillId="0" borderId="1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6" borderId="6" xfId="0" applyFill="1" applyBorder="1" applyAlignment="1">
      <alignment vertical="top"/>
    </xf>
    <xf numFmtId="165" fontId="0" fillId="6" borderId="1" xfId="0" applyNumberFormat="1" applyFill="1" applyBorder="1" applyAlignment="1">
      <alignment vertical="top"/>
    </xf>
    <xf numFmtId="165" fontId="0" fillId="0" borderId="1" xfId="0" applyNumberFormat="1" applyBorder="1" applyAlignment="1">
      <alignment vertical="top"/>
    </xf>
    <xf numFmtId="166" fontId="8" fillId="3" borderId="7" xfId="0" applyNumberFormat="1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165" fontId="0" fillId="0" borderId="8" xfId="0" applyNumberFormat="1" applyBorder="1" applyAlignment="1">
      <alignment vertical="top"/>
    </xf>
    <xf numFmtId="165" fontId="0" fillId="5" borderId="8" xfId="0" applyNumberFormat="1" applyFill="1" applyBorder="1" applyAlignment="1">
      <alignment vertical="top"/>
    </xf>
    <xf numFmtId="165" fontId="0" fillId="5" borderId="1" xfId="0" applyNumberFormat="1" applyFill="1" applyBorder="1" applyAlignment="1">
      <alignment vertical="top"/>
    </xf>
    <xf numFmtId="165" fontId="0" fillId="0" borderId="9" xfId="0" applyNumberFormat="1" applyBorder="1" applyAlignment="1">
      <alignment vertical="top"/>
    </xf>
    <xf numFmtId="165" fontId="0" fillId="5" borderId="9" xfId="0" applyNumberFormat="1" applyFill="1" applyBorder="1" applyAlignment="1">
      <alignment vertical="top"/>
    </xf>
    <xf numFmtId="0" fontId="0" fillId="5" borderId="1" xfId="0" applyFill="1" applyBorder="1" applyAlignment="1">
      <alignment horizontal="center" vertical="top"/>
    </xf>
    <xf numFmtId="49" fontId="0" fillId="5" borderId="1" xfId="0" applyNumberFormat="1" applyFill="1" applyBorder="1" applyAlignment="1">
      <alignment horizontal="right" vertical="top"/>
    </xf>
    <xf numFmtId="0" fontId="0" fillId="5" borderId="1" xfId="0" applyFill="1" applyBorder="1" applyAlignment="1">
      <alignment horizontal="left" vertical="top"/>
    </xf>
    <xf numFmtId="164" fontId="0" fillId="5" borderId="1" xfId="0" applyNumberFormat="1" applyFill="1" applyBorder="1" applyAlignment="1">
      <alignment vertical="top"/>
    </xf>
    <xf numFmtId="9" fontId="0" fillId="5" borderId="1" xfId="0" applyNumberFormat="1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65" fontId="0" fillId="6" borderId="8" xfId="0" applyNumberFormat="1" applyFill="1" applyBorder="1" applyAlignment="1">
      <alignment vertical="top"/>
    </xf>
    <xf numFmtId="164" fontId="4" fillId="0" borderId="0" xfId="0" applyNumberFormat="1" applyFont="1" applyAlignment="1">
      <alignment vertical="top"/>
    </xf>
    <xf numFmtId="0" fontId="0" fillId="0" borderId="9" xfId="0" applyBorder="1" applyAlignment="1">
      <alignment horizontal="center" vertical="top"/>
    </xf>
    <xf numFmtId="165" fontId="0" fillId="6" borderId="9" xfId="0" applyNumberFormat="1" applyFill="1" applyBorder="1" applyAlignment="1">
      <alignment vertical="top"/>
    </xf>
    <xf numFmtId="0" fontId="0" fillId="0" borderId="0" xfId="0" applyAlignment="1">
      <alignment horizontal="center" vertical="top"/>
    </xf>
    <xf numFmtId="0" fontId="5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9" fillId="13" borderId="1" xfId="0" applyFont="1" applyFill="1" applyBorder="1" applyAlignment="1">
      <alignment horizontal="center" vertical="top"/>
    </xf>
    <xf numFmtId="0" fontId="9" fillId="0" borderId="0" xfId="0" applyFont="1"/>
    <xf numFmtId="0" fontId="9" fillId="14" borderId="1" xfId="0" applyFont="1" applyFill="1" applyBorder="1" applyAlignment="1">
      <alignment horizontal="center" vertical="top"/>
    </xf>
    <xf numFmtId="0" fontId="9" fillId="15" borderId="1" xfId="0" applyFont="1" applyFill="1" applyBorder="1" applyAlignment="1">
      <alignment horizontal="center" vertical="top"/>
    </xf>
    <xf numFmtId="9" fontId="0" fillId="0" borderId="0" xfId="1" applyFont="1"/>
    <xf numFmtId="3" fontId="0" fillId="0" borderId="0" xfId="0" applyNumberFormat="1"/>
    <xf numFmtId="0" fontId="4" fillId="0" borderId="0" xfId="0" applyFont="1"/>
    <xf numFmtId="0" fontId="9" fillId="0" borderId="10" xfId="0" applyFont="1" applyBorder="1"/>
    <xf numFmtId="0" fontId="0" fillId="0" borderId="11" xfId="0" applyBorder="1"/>
    <xf numFmtId="0" fontId="0" fillId="0" borderId="16" xfId="0" applyBorder="1"/>
    <xf numFmtId="3" fontId="4" fillId="0" borderId="17" xfId="0" applyNumberFormat="1" applyFont="1" applyBorder="1"/>
    <xf numFmtId="3" fontId="4" fillId="0" borderId="14" xfId="0" applyNumberFormat="1" applyFont="1" applyBorder="1"/>
    <xf numFmtId="0" fontId="9" fillId="0" borderId="11" xfId="0" applyFont="1" applyBorder="1"/>
    <xf numFmtId="0" fontId="9" fillId="0" borderId="16" xfId="0" applyFont="1" applyBorder="1"/>
    <xf numFmtId="3" fontId="0" fillId="0" borderId="11" xfId="0" applyNumberFormat="1" applyBorder="1"/>
    <xf numFmtId="3" fontId="0" fillId="0" borderId="16" xfId="0" applyNumberFormat="1" applyBorder="1"/>
    <xf numFmtId="0" fontId="13" fillId="0" borderId="0" xfId="0" applyFont="1"/>
    <xf numFmtId="9" fontId="14" fillId="0" borderId="11" xfId="1" applyFont="1" applyBorder="1"/>
    <xf numFmtId="0" fontId="9" fillId="13" borderId="13" xfId="0" applyFont="1" applyFill="1" applyBorder="1"/>
    <xf numFmtId="0" fontId="9" fillId="0" borderId="0" xfId="0" applyFont="1" applyAlignment="1">
      <alignment vertical="top"/>
    </xf>
    <xf numFmtId="0" fontId="9" fillId="47" borderId="1" xfId="0" applyFont="1" applyFill="1" applyBorder="1" applyAlignment="1">
      <alignment horizontal="center" vertical="top"/>
    </xf>
    <xf numFmtId="0" fontId="0" fillId="48" borderId="6" xfId="0" applyFill="1" applyBorder="1" applyAlignment="1">
      <alignment horizontal="center" vertical="top"/>
    </xf>
    <xf numFmtId="0" fontId="0" fillId="49" borderId="6" xfId="0" applyFill="1" applyBorder="1" applyAlignment="1">
      <alignment horizontal="center" vertical="top"/>
    </xf>
    <xf numFmtId="0" fontId="9" fillId="15" borderId="0" xfId="0" applyFont="1" applyFill="1"/>
    <xf numFmtId="0" fontId="9" fillId="15" borderId="0" xfId="0" applyFont="1" applyFill="1" applyAlignment="1">
      <alignment vertical="top"/>
    </xf>
    <xf numFmtId="0" fontId="0" fillId="15" borderId="0" xfId="0" applyFill="1" applyAlignment="1">
      <alignment vertical="top"/>
    </xf>
    <xf numFmtId="0" fontId="9" fillId="13" borderId="0" xfId="0" applyFont="1" applyFill="1"/>
    <xf numFmtId="0" fontId="9" fillId="13" borderId="0" xfId="0" applyFont="1" applyFill="1" applyAlignment="1">
      <alignment vertical="top"/>
    </xf>
    <xf numFmtId="0" fontId="0" fillId="13" borderId="0" xfId="0" applyFill="1" applyAlignment="1">
      <alignment vertical="top"/>
    </xf>
    <xf numFmtId="0" fontId="9" fillId="47" borderId="0" xfId="0" applyFont="1" applyFill="1" applyAlignment="1">
      <alignment vertical="top"/>
    </xf>
    <xf numFmtId="0" fontId="0" fillId="47" borderId="0" xfId="0" applyFill="1" applyAlignment="1">
      <alignment vertical="top"/>
    </xf>
    <xf numFmtId="0" fontId="9" fillId="49" borderId="0" xfId="0" applyFont="1" applyFill="1" applyAlignment="1">
      <alignment vertical="top"/>
    </xf>
    <xf numFmtId="0" fontId="0" fillId="49" borderId="0" xfId="0" applyFill="1" applyAlignment="1">
      <alignment vertical="top"/>
    </xf>
    <xf numFmtId="49" fontId="33" fillId="0" borderId="0" xfId="0" applyNumberFormat="1" applyFont="1" applyAlignment="1">
      <alignment vertical="center"/>
    </xf>
    <xf numFmtId="0" fontId="31" fillId="0" borderId="32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33" xfId="0" applyFont="1" applyBorder="1" applyAlignment="1">
      <alignment vertical="top"/>
    </xf>
    <xf numFmtId="0" fontId="31" fillId="14" borderId="30" xfId="0" applyFont="1" applyFill="1" applyBorder="1" applyAlignment="1">
      <alignment vertical="top"/>
    </xf>
    <xf numFmtId="0" fontId="32" fillId="13" borderId="30" xfId="0" applyFont="1" applyFill="1" applyBorder="1" applyAlignment="1">
      <alignment vertical="top"/>
    </xf>
    <xf numFmtId="0" fontId="32" fillId="51" borderId="37" xfId="0" applyFont="1" applyFill="1" applyBorder="1" applyAlignment="1">
      <alignment horizontal="center"/>
    </xf>
    <xf numFmtId="3" fontId="33" fillId="0" borderId="0" xfId="0" applyNumberFormat="1" applyFont="1" applyAlignment="1">
      <alignment vertical="center"/>
    </xf>
    <xf numFmtId="3" fontId="31" fillId="0" borderId="32" xfId="0" applyNumberFormat="1" applyFont="1" applyBorder="1" applyAlignment="1">
      <alignment vertical="top"/>
    </xf>
    <xf numFmtId="3" fontId="32" fillId="51" borderId="37" xfId="0" applyNumberFormat="1" applyFont="1" applyFill="1" applyBorder="1" applyAlignment="1">
      <alignment horizontal="center"/>
    </xf>
    <xf numFmtId="3" fontId="32" fillId="13" borderId="38" xfId="0" applyNumberFormat="1" applyFont="1" applyFill="1" applyBorder="1" applyAlignment="1">
      <alignment horizontal="center"/>
    </xf>
    <xf numFmtId="3" fontId="31" fillId="0" borderId="30" xfId="0" applyNumberFormat="1" applyFont="1" applyBorder="1" applyAlignment="1">
      <alignment vertical="top"/>
    </xf>
    <xf numFmtId="0" fontId="31" fillId="13" borderId="30" xfId="0" applyFont="1" applyFill="1" applyBorder="1" applyAlignment="1">
      <alignment vertical="top"/>
    </xf>
    <xf numFmtId="0" fontId="31" fillId="0" borderId="41" xfId="0" applyFont="1" applyBorder="1" applyAlignment="1">
      <alignment vertical="top"/>
    </xf>
    <xf numFmtId="3" fontId="32" fillId="51" borderId="34" xfId="0" applyNumberFormat="1" applyFont="1" applyFill="1" applyBorder="1" applyAlignment="1">
      <alignment vertical="top"/>
    </xf>
    <xf numFmtId="3" fontId="32" fillId="50" borderId="35" xfId="0" applyNumberFormat="1" applyFont="1" applyFill="1" applyBorder="1" applyAlignment="1">
      <alignment horizontal="right" vertical="top"/>
    </xf>
    <xf numFmtId="3" fontId="31" fillId="0" borderId="33" xfId="0" applyNumberFormat="1" applyFont="1" applyBorder="1" applyAlignment="1">
      <alignment vertical="top"/>
    </xf>
    <xf numFmtId="3" fontId="9" fillId="15" borderId="0" xfId="0" applyNumberFormat="1" applyFont="1" applyFill="1"/>
    <xf numFmtId="3" fontId="9" fillId="13" borderId="0" xfId="0" applyNumberFormat="1" applyFont="1" applyFill="1"/>
    <xf numFmtId="3" fontId="11" fillId="0" borderId="0" xfId="0" applyNumberFormat="1" applyFont="1" applyAlignment="1">
      <alignment horizontal="right"/>
    </xf>
    <xf numFmtId="3" fontId="9" fillId="47" borderId="0" xfId="0" applyNumberFormat="1" applyFont="1" applyFill="1" applyAlignment="1">
      <alignment vertical="top"/>
    </xf>
    <xf numFmtId="3" fontId="9" fillId="49" borderId="0" xfId="0" applyNumberFormat="1" applyFont="1" applyFill="1" applyAlignment="1">
      <alignment vertical="top"/>
    </xf>
    <xf numFmtId="3" fontId="31" fillId="0" borderId="40" xfId="0" applyNumberFormat="1" applyFont="1" applyBorder="1" applyAlignment="1">
      <alignment vertical="top"/>
    </xf>
    <xf numFmtId="3" fontId="31" fillId="0" borderId="31" xfId="0" applyNumberFormat="1" applyFont="1" applyBorder="1" applyAlignment="1">
      <alignment vertical="top"/>
    </xf>
    <xf numFmtId="3" fontId="31" fillId="13" borderId="30" xfId="0" applyNumberFormat="1" applyFont="1" applyFill="1" applyBorder="1" applyAlignment="1">
      <alignment vertical="top"/>
    </xf>
    <xf numFmtId="3" fontId="35" fillId="0" borderId="0" xfId="0" applyNumberFormat="1" applyFont="1"/>
    <xf numFmtId="0" fontId="9" fillId="0" borderId="13" xfId="0" applyFont="1" applyBorder="1"/>
    <xf numFmtId="0" fontId="0" fillId="0" borderId="18" xfId="0" applyBorder="1"/>
    <xf numFmtId="3" fontId="36" fillId="0" borderId="30" xfId="0" applyNumberFormat="1" applyFont="1" applyBorder="1" applyAlignment="1">
      <alignment vertical="top"/>
    </xf>
    <xf numFmtId="3" fontId="32" fillId="13" borderId="0" xfId="0" applyNumberFormat="1" applyFont="1" applyFill="1" applyAlignment="1">
      <alignment horizontal="center"/>
    </xf>
    <xf numFmtId="3" fontId="31" fillId="0" borderId="0" xfId="0" applyNumberFormat="1" applyFont="1" applyAlignment="1">
      <alignment vertical="top"/>
    </xf>
    <xf numFmtId="0" fontId="32" fillId="51" borderId="36" xfId="0" applyFont="1" applyFill="1" applyBorder="1" applyAlignment="1">
      <alignment horizontal="right"/>
    </xf>
    <xf numFmtId="0" fontId="32" fillId="51" borderId="37" xfId="0" applyFont="1" applyFill="1" applyBorder="1" applyAlignment="1">
      <alignment horizontal="left"/>
    </xf>
    <xf numFmtId="3" fontId="4" fillId="0" borderId="0" xfId="0" applyNumberFormat="1" applyFont="1" applyAlignment="1">
      <alignment horizontal="right" vertical="top"/>
    </xf>
    <xf numFmtId="0" fontId="37" fillId="0" borderId="0" xfId="0" applyFont="1" applyAlignment="1">
      <alignment horizontal="left" vertical="top"/>
    </xf>
    <xf numFmtId="0" fontId="34" fillId="0" borderId="32" xfId="0" applyFont="1" applyBorder="1" applyAlignment="1">
      <alignment vertical="top"/>
    </xf>
    <xf numFmtId="0" fontId="31" fillId="0" borderId="33" xfId="0" applyFont="1" applyBorder="1" applyAlignment="1">
      <alignment horizontal="right" vertical="top"/>
    </xf>
    <xf numFmtId="0" fontId="9" fillId="15" borderId="10" xfId="0" applyFont="1" applyFill="1" applyBorder="1" applyAlignment="1">
      <alignment horizontal="right"/>
    </xf>
    <xf numFmtId="0" fontId="32" fillId="13" borderId="42" xfId="0" applyFont="1" applyFill="1" applyBorder="1" applyAlignment="1">
      <alignment vertical="top"/>
    </xf>
    <xf numFmtId="0" fontId="31" fillId="13" borderId="42" xfId="0" applyFont="1" applyFill="1" applyBorder="1" applyAlignment="1">
      <alignment vertical="top"/>
    </xf>
    <xf numFmtId="3" fontId="31" fillId="13" borderId="42" xfId="0" applyNumberFormat="1" applyFont="1" applyFill="1" applyBorder="1" applyAlignment="1">
      <alignment vertical="top"/>
    </xf>
    <xf numFmtId="3" fontId="31" fillId="13" borderId="43" xfId="0" applyNumberFormat="1" applyFont="1" applyFill="1" applyBorder="1" applyAlignment="1">
      <alignment vertical="top"/>
    </xf>
    <xf numFmtId="0" fontId="9" fillId="0" borderId="13" xfId="0" applyFont="1" applyBorder="1" applyAlignment="1">
      <alignment horizontal="right"/>
    </xf>
    <xf numFmtId="3" fontId="31" fillId="13" borderId="44" xfId="0" applyNumberFormat="1" applyFont="1" applyFill="1" applyBorder="1" applyAlignment="1">
      <alignment vertical="top"/>
    </xf>
    <xf numFmtId="0" fontId="9" fillId="13" borderId="13" xfId="0" applyFont="1" applyFill="1" applyBorder="1" applyAlignment="1">
      <alignment horizontal="right"/>
    </xf>
    <xf numFmtId="0" fontId="9" fillId="47" borderId="13" xfId="0" applyFont="1" applyFill="1" applyBorder="1" applyAlignment="1">
      <alignment horizontal="right" vertical="top"/>
    </xf>
    <xf numFmtId="0" fontId="9" fillId="49" borderId="13" xfId="0" applyFont="1" applyFill="1" applyBorder="1" applyAlignment="1">
      <alignment horizontal="right" vertical="top"/>
    </xf>
    <xf numFmtId="3" fontId="31" fillId="13" borderId="45" xfId="0" applyNumberFormat="1" applyFont="1" applyFill="1" applyBorder="1" applyAlignment="1">
      <alignment vertical="top"/>
    </xf>
    <xf numFmtId="0" fontId="32" fillId="0" borderId="46" xfId="0" applyFont="1" applyBorder="1" applyAlignment="1">
      <alignment horizontal="right" vertical="top"/>
    </xf>
    <xf numFmtId="0" fontId="31" fillId="13" borderId="47" xfId="0" applyFont="1" applyFill="1" applyBorder="1" applyAlignment="1">
      <alignment vertical="top"/>
    </xf>
    <xf numFmtId="3" fontId="31" fillId="13" borderId="48" xfId="0" applyNumberFormat="1" applyFont="1" applyFill="1" applyBorder="1" applyAlignment="1">
      <alignment vertical="top"/>
    </xf>
    <xf numFmtId="3" fontId="31" fillId="13" borderId="49" xfId="0" applyNumberFormat="1" applyFont="1" applyFill="1" applyBorder="1" applyAlignment="1">
      <alignment vertical="top"/>
    </xf>
    <xf numFmtId="3" fontId="31" fillId="0" borderId="50" xfId="0" applyNumberFormat="1" applyFont="1" applyBorder="1" applyAlignment="1">
      <alignment vertical="top"/>
    </xf>
    <xf numFmtId="3" fontId="31" fillId="0" borderId="39" xfId="0" applyNumberFormat="1" applyFont="1" applyBorder="1" applyAlignment="1">
      <alignment vertical="top"/>
    </xf>
    <xf numFmtId="3" fontId="31" fillId="0" borderId="41" xfId="0" applyNumberFormat="1" applyFont="1" applyBorder="1" applyAlignment="1">
      <alignment vertical="top"/>
    </xf>
    <xf numFmtId="3" fontId="31" fillId="0" borderId="42" xfId="0" applyNumberFormat="1" applyFont="1" applyBorder="1" applyAlignment="1">
      <alignment vertical="top"/>
    </xf>
    <xf numFmtId="0" fontId="9" fillId="15" borderId="13" xfId="0" applyFont="1" applyFill="1" applyBorder="1"/>
    <xf numFmtId="3" fontId="31" fillId="0" borderId="44" xfId="0" applyNumberFormat="1" applyFont="1" applyBorder="1" applyAlignment="1">
      <alignment vertical="top"/>
    </xf>
    <xf numFmtId="0" fontId="9" fillId="47" borderId="13" xfId="0" applyFont="1" applyFill="1" applyBorder="1" applyAlignment="1">
      <alignment vertical="top"/>
    </xf>
    <xf numFmtId="0" fontId="9" fillId="49" borderId="13" xfId="0" applyFont="1" applyFill="1" applyBorder="1" applyAlignment="1">
      <alignment vertical="top"/>
    </xf>
    <xf numFmtId="3" fontId="31" fillId="0" borderId="51" xfId="0" applyNumberFormat="1" applyFont="1" applyBorder="1" applyAlignment="1">
      <alignment vertical="top"/>
    </xf>
    <xf numFmtId="3" fontId="31" fillId="0" borderId="46" xfId="0" applyNumberFormat="1" applyFont="1" applyBorder="1" applyAlignment="1">
      <alignment vertical="top"/>
    </xf>
    <xf numFmtId="3" fontId="31" fillId="0" borderId="47" xfId="0" applyNumberFormat="1" applyFont="1" applyBorder="1" applyAlignment="1">
      <alignment vertical="top"/>
    </xf>
    <xf numFmtId="3" fontId="31" fillId="0" borderId="52" xfId="0" applyNumberFormat="1" applyFont="1" applyBorder="1" applyAlignment="1">
      <alignment vertical="top"/>
    </xf>
    <xf numFmtId="3" fontId="31" fillId="0" borderId="54" xfId="0" applyNumberFormat="1" applyFont="1" applyBorder="1" applyAlignment="1">
      <alignment vertical="top"/>
    </xf>
    <xf numFmtId="3" fontId="31" fillId="0" borderId="56" xfId="0" applyNumberFormat="1" applyFont="1" applyBorder="1" applyAlignment="1">
      <alignment vertical="top"/>
    </xf>
    <xf numFmtId="3" fontId="32" fillId="0" borderId="55" xfId="0" applyNumberFormat="1" applyFont="1" applyBorder="1" applyAlignment="1">
      <alignment vertical="top"/>
    </xf>
    <xf numFmtId="3" fontId="0" fillId="0" borderId="14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9" fillId="15" borderId="10" xfId="0" applyNumberFormat="1" applyFont="1" applyFill="1" applyBorder="1" applyAlignment="1">
      <alignment horizontal="right"/>
    </xf>
    <xf numFmtId="0" fontId="9" fillId="15" borderId="11" xfId="0" applyFont="1" applyFill="1" applyBorder="1" applyAlignment="1">
      <alignment vertical="top"/>
    </xf>
    <xf numFmtId="3" fontId="9" fillId="0" borderId="13" xfId="0" applyNumberFormat="1" applyFont="1" applyBorder="1" applyAlignment="1">
      <alignment horizontal="right"/>
    </xf>
    <xf numFmtId="3" fontId="9" fillId="13" borderId="13" xfId="0" applyNumberFormat="1" applyFont="1" applyFill="1" applyBorder="1" applyAlignment="1">
      <alignment horizontal="right"/>
    </xf>
    <xf numFmtId="3" fontId="9" fillId="47" borderId="13" xfId="0" applyNumberFormat="1" applyFont="1" applyFill="1" applyBorder="1" applyAlignment="1">
      <alignment horizontal="right" vertical="top"/>
    </xf>
    <xf numFmtId="3" fontId="9" fillId="49" borderId="15" xfId="0" applyNumberFormat="1" applyFont="1" applyFill="1" applyBorder="1" applyAlignment="1">
      <alignment horizontal="right" vertical="top"/>
    </xf>
    <xf numFmtId="0" fontId="9" fillId="49" borderId="16" xfId="0" applyFont="1" applyFill="1" applyBorder="1" applyAlignment="1">
      <alignment vertical="top"/>
    </xf>
    <xf numFmtId="0" fontId="9" fillId="15" borderId="12" xfId="0" applyFont="1" applyFill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13" borderId="14" xfId="0" applyFont="1" applyFill="1" applyBorder="1" applyAlignment="1">
      <alignment vertical="top"/>
    </xf>
    <xf numFmtId="0" fontId="9" fillId="47" borderId="14" xfId="0" applyFont="1" applyFill="1" applyBorder="1" applyAlignment="1">
      <alignment vertical="top"/>
    </xf>
    <xf numFmtId="0" fontId="9" fillId="49" borderId="17" xfId="0" applyFont="1" applyFill="1" applyBorder="1" applyAlignment="1">
      <alignment vertical="top"/>
    </xf>
    <xf numFmtId="3" fontId="38" fillId="0" borderId="56" xfId="0" applyNumberFormat="1" applyFont="1" applyBorder="1" applyAlignment="1">
      <alignment horizontal="right" vertical="top"/>
    </xf>
    <xf numFmtId="3" fontId="38" fillId="0" borderId="5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/>
    <xf numFmtId="0" fontId="9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/>
    <xf numFmtId="0" fontId="4" fillId="0" borderId="0" xfId="0" applyFont="1" applyAlignment="1">
      <alignment horizontal="right"/>
    </xf>
    <xf numFmtId="0" fontId="0" fillId="0" borderId="15" xfId="0" applyBorder="1"/>
    <xf numFmtId="3" fontId="0" fillId="0" borderId="18" xfId="0" applyNumberFormat="1" applyBorder="1"/>
    <xf numFmtId="0" fontId="4" fillId="0" borderId="60" xfId="0" applyFont="1" applyBorder="1" applyAlignment="1">
      <alignment horizontal="right"/>
    </xf>
    <xf numFmtId="0" fontId="4" fillId="0" borderId="60" xfId="0" applyFont="1" applyBorder="1"/>
    <xf numFmtId="0" fontId="4" fillId="0" borderId="10" xfId="0" applyFont="1" applyBorder="1" applyAlignment="1">
      <alignment horizontal="right"/>
    </xf>
    <xf numFmtId="3" fontId="31" fillId="53" borderId="53" xfId="0" applyNumberFormat="1" applyFont="1" applyFill="1" applyBorder="1" applyAlignment="1">
      <alignment vertical="top"/>
    </xf>
    <xf numFmtId="3" fontId="32" fillId="52" borderId="39" xfId="0" applyNumberFormat="1" applyFont="1" applyFill="1" applyBorder="1" applyAlignment="1">
      <alignment vertical="top"/>
    </xf>
    <xf numFmtId="3" fontId="36" fillId="0" borderId="61" xfId="0" applyNumberFormat="1" applyFont="1" applyBorder="1" applyAlignment="1">
      <alignment vertical="top"/>
    </xf>
    <xf numFmtId="3" fontId="31" fillId="0" borderId="62" xfId="0" applyNumberFormat="1" applyFont="1" applyBorder="1" applyAlignment="1">
      <alignment vertical="top"/>
    </xf>
    <xf numFmtId="3" fontId="37" fillId="0" borderId="0" xfId="0" applyNumberFormat="1" applyFont="1"/>
    <xf numFmtId="3" fontId="12" fillId="0" borderId="0" xfId="0" applyNumberFormat="1" applyFont="1" applyAlignment="1">
      <alignment horizontal="right"/>
    </xf>
    <xf numFmtId="0" fontId="9" fillId="15" borderId="59" xfId="0" applyFont="1" applyFill="1" applyBorder="1" applyAlignment="1">
      <alignment horizontal="center" vertical="top"/>
    </xf>
    <xf numFmtId="0" fontId="0" fillId="0" borderId="13" xfId="0" applyBorder="1"/>
    <xf numFmtId="0" fontId="9" fillId="0" borderId="59" xfId="0" applyFont="1" applyBorder="1" applyAlignment="1">
      <alignment horizontal="center" vertical="top"/>
    </xf>
    <xf numFmtId="0" fontId="9" fillId="13" borderId="59" xfId="0" applyFont="1" applyFill="1" applyBorder="1" applyAlignment="1">
      <alignment horizontal="center" vertical="top"/>
    </xf>
    <xf numFmtId="0" fontId="9" fillId="47" borderId="59" xfId="0" applyFont="1" applyFill="1" applyBorder="1" applyAlignment="1">
      <alignment horizontal="center" vertical="top"/>
    </xf>
    <xf numFmtId="0" fontId="9" fillId="14" borderId="59" xfId="0" applyFont="1" applyFill="1" applyBorder="1" applyAlignment="1">
      <alignment horizontal="center" vertical="top"/>
    </xf>
    <xf numFmtId="0" fontId="9" fillId="50" borderId="13" xfId="0" applyFont="1" applyFill="1" applyBorder="1" applyAlignment="1">
      <alignment horizontal="center"/>
    </xf>
    <xf numFmtId="0" fontId="9" fillId="50" borderId="15" xfId="0" applyFont="1" applyFill="1" applyBorder="1" applyAlignment="1">
      <alignment horizontal="center"/>
    </xf>
    <xf numFmtId="0" fontId="0" fillId="0" borderId="63" xfId="0" applyBorder="1"/>
    <xf numFmtId="3" fontId="4" fillId="0" borderId="0" xfId="0" applyNumberFormat="1" applyFont="1"/>
    <xf numFmtId="3" fontId="4" fillId="0" borderId="13" xfId="0" applyNumberFormat="1" applyFont="1" applyBorder="1"/>
    <xf numFmtId="0" fontId="4" fillId="0" borderId="13" xfId="0" applyFont="1" applyBorder="1"/>
    <xf numFmtId="3" fontId="4" fillId="0" borderId="58" xfId="0" applyNumberFormat="1" applyFont="1" applyBorder="1"/>
    <xf numFmtId="3" fontId="4" fillId="0" borderId="15" xfId="0" applyNumberFormat="1" applyFont="1" applyBorder="1"/>
    <xf numFmtId="3" fontId="40" fillId="0" borderId="13" xfId="0" applyNumberFormat="1" applyFont="1" applyBorder="1"/>
    <xf numFmtId="3" fontId="35" fillId="0" borderId="13" xfId="0" applyNumberFormat="1" applyFont="1" applyBorder="1"/>
    <xf numFmtId="0" fontId="41" fillId="0" borderId="12" xfId="0" applyFont="1" applyBorder="1" applyAlignment="1">
      <alignment horizontal="right"/>
    </xf>
    <xf numFmtId="0" fontId="0" fillId="0" borderId="64" xfId="0" applyBorder="1"/>
    <xf numFmtId="0" fontId="0" fillId="0" borderId="60" xfId="0" applyBorder="1"/>
    <xf numFmtId="0" fontId="37" fillId="0" borderId="0" xfId="0" applyFont="1"/>
    <xf numFmtId="0" fontId="0" fillId="15" borderId="13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13" borderId="13" xfId="0" applyFill="1" applyBorder="1" applyAlignment="1">
      <alignment horizontal="right"/>
    </xf>
    <xf numFmtId="0" fontId="0" fillId="47" borderId="13" xfId="0" applyFill="1" applyBorder="1" applyAlignment="1">
      <alignment horizontal="right" vertical="top"/>
    </xf>
    <xf numFmtId="0" fontId="0" fillId="49" borderId="13" xfId="0" applyFill="1" applyBorder="1" applyAlignment="1">
      <alignment horizontal="right" vertical="top"/>
    </xf>
    <xf numFmtId="0" fontId="42" fillId="13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14" xfId="0" applyFont="1" applyBorder="1"/>
    <xf numFmtId="0" fontId="4" fillId="0" borderId="14" xfId="0" applyFont="1" applyBorder="1" applyAlignment="1">
      <alignment horizontal="right"/>
    </xf>
    <xf numFmtId="3" fontId="4" fillId="0" borderId="19" xfId="0" applyNumberFormat="1" applyFont="1" applyBorder="1"/>
    <xf numFmtId="0" fontId="9" fillId="15" borderId="65" xfId="0" applyFont="1" applyFill="1" applyBorder="1" applyAlignment="1">
      <alignment horizontal="center" vertical="top"/>
    </xf>
    <xf numFmtId="3" fontId="40" fillId="0" borderId="13" xfId="0" applyNumberFormat="1" applyFont="1" applyBorder="1" applyAlignment="1">
      <alignment horizontal="right"/>
    </xf>
    <xf numFmtId="49" fontId="4" fillId="0" borderId="60" xfId="0" applyNumberFormat="1" applyFont="1" applyBorder="1" applyAlignment="1">
      <alignment horizontal="right"/>
    </xf>
    <xf numFmtId="3" fontId="4" fillId="0" borderId="64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0" fontId="35" fillId="13" borderId="1" xfId="0" applyFont="1" applyFill="1" applyBorder="1" applyAlignment="1">
      <alignment horizontal="center" vertical="top"/>
    </xf>
    <xf numFmtId="0" fontId="5" fillId="54" borderId="1" xfId="0" applyFont="1" applyFill="1" applyBorder="1" applyAlignment="1">
      <alignment horizontal="center" vertical="top"/>
    </xf>
    <xf numFmtId="3" fontId="0" fillId="0" borderId="66" xfId="0" applyNumberFormat="1" applyBorder="1"/>
    <xf numFmtId="3" fontId="0" fillId="0" borderId="67" xfId="0" applyNumberFormat="1" applyBorder="1"/>
    <xf numFmtId="0" fontId="4" fillId="0" borderId="34" xfId="0" applyFont="1" applyBorder="1" applyAlignment="1">
      <alignment horizontal="right" indent="1"/>
    </xf>
    <xf numFmtId="0" fontId="4" fillId="0" borderId="0" xfId="0" applyFont="1" applyAlignment="1">
      <alignment horizontal="left"/>
    </xf>
    <xf numFmtId="0" fontId="9" fillId="0" borderId="13" xfId="0" applyFont="1" applyBorder="1" applyAlignment="1">
      <alignment horizontal="right" vertical="top"/>
    </xf>
    <xf numFmtId="0" fontId="0" fillId="13" borderId="13" xfId="0" applyFill="1" applyBorder="1" applyAlignment="1">
      <alignment horizontal="right" vertical="top"/>
    </xf>
    <xf numFmtId="0" fontId="0" fillId="49" borderId="15" xfId="0" applyFill="1" applyBorder="1" applyAlignment="1">
      <alignment horizontal="right" vertical="top"/>
    </xf>
    <xf numFmtId="0" fontId="9" fillId="0" borderId="15" xfId="0" applyFont="1" applyBorder="1" applyAlignment="1">
      <alignment horizontal="right"/>
    </xf>
    <xf numFmtId="0" fontId="0" fillId="15" borderId="13" xfId="0" applyFill="1" applyBorder="1" applyAlignment="1">
      <alignment horizontal="right" vertical="top"/>
    </xf>
    <xf numFmtId="0" fontId="4" fillId="0" borderId="64" xfId="0" applyFont="1" applyBorder="1" applyAlignment="1">
      <alignment horizontal="left"/>
    </xf>
    <xf numFmtId="3" fontId="4" fillId="0" borderId="60" xfId="0" applyNumberFormat="1" applyFont="1" applyBorder="1" applyAlignment="1">
      <alignment horizontal="right"/>
    </xf>
    <xf numFmtId="0" fontId="4" fillId="0" borderId="68" xfId="0" applyFont="1" applyBorder="1" applyAlignment="1">
      <alignment horizontal="right"/>
    </xf>
    <xf numFmtId="3" fontId="0" fillId="0" borderId="69" xfId="0" applyNumberFormat="1" applyBorder="1"/>
    <xf numFmtId="3" fontId="0" fillId="0" borderId="70" xfId="0" applyNumberFormat="1" applyBorder="1"/>
    <xf numFmtId="0" fontId="9" fillId="0" borderId="0" xfId="0" applyFont="1" applyAlignment="1">
      <alignment horizontal="right"/>
    </xf>
    <xf numFmtId="3" fontId="4" fillId="0" borderId="67" xfId="0" applyNumberFormat="1" applyFont="1" applyBorder="1"/>
    <xf numFmtId="0" fontId="9" fillId="0" borderId="0" xfId="0" applyFont="1" applyAlignment="1">
      <alignment horizontal="left"/>
    </xf>
    <xf numFmtId="0" fontId="43" fillId="4" borderId="1" xfId="0" applyFont="1" applyFill="1" applyBorder="1" applyAlignment="1">
      <alignment vertical="top"/>
    </xf>
    <xf numFmtId="0" fontId="35" fillId="15" borderId="1" xfId="0" applyFont="1" applyFill="1" applyBorder="1" applyAlignment="1">
      <alignment horizontal="center" vertical="top"/>
    </xf>
    <xf numFmtId="0" fontId="35" fillId="0" borderId="1" xfId="0" applyFont="1" applyBorder="1" applyAlignment="1">
      <alignment horizontal="center" vertical="top"/>
    </xf>
    <xf numFmtId="0" fontId="35" fillId="14" borderId="1" xfId="0" applyFont="1" applyFill="1" applyBorder="1" applyAlignment="1">
      <alignment horizontal="center" vertical="top"/>
    </xf>
    <xf numFmtId="0" fontId="35" fillId="47" borderId="1" xfId="0" applyFont="1" applyFill="1" applyBorder="1" applyAlignment="1">
      <alignment horizontal="center" vertical="top"/>
    </xf>
    <xf numFmtId="3" fontId="31" fillId="13" borderId="44" xfId="0" applyNumberFormat="1" applyFont="1" applyFill="1" applyBorder="1" applyAlignment="1">
      <alignment vertical="top" wrapText="1"/>
    </xf>
    <xf numFmtId="3" fontId="44" fillId="0" borderId="0" xfId="0" applyNumberFormat="1" applyFont="1"/>
    <xf numFmtId="0" fontId="6" fillId="9" borderId="4" xfId="0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0" fontId="6" fillId="10" borderId="4" xfId="0" applyFont="1" applyFill="1" applyBorder="1" applyAlignment="1">
      <alignment horizontal="left" vertical="top"/>
    </xf>
    <xf numFmtId="0" fontId="6" fillId="11" borderId="4" xfId="0" applyFont="1" applyFill="1" applyBorder="1" applyAlignment="1">
      <alignment horizontal="left" vertical="top"/>
    </xf>
    <xf numFmtId="0" fontId="6" fillId="12" borderId="4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3" xfId="0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0" fontId="6" fillId="7" borderId="4" xfId="0" applyFont="1" applyFill="1" applyBorder="1" applyAlignment="1">
      <alignment horizontal="left" vertical="top"/>
    </xf>
    <xf numFmtId="0" fontId="6" fillId="8" borderId="4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3" borderId="8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7" fillId="0" borderId="0" xfId="0" applyFont="1" applyAlignment="1">
      <alignment horizontal="right"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 2" xfId="43" xr:uid="{3364FA85-5CF7-44D6-A026-1A75DFF8CD2A}"/>
    <cellStyle name="Ongeldig" xfId="8" builtinId="27" customBuiltin="1"/>
    <cellStyle name="Procent" xfId="1" builtinId="5"/>
    <cellStyle name="Standaard" xfId="0" builtinId="0"/>
    <cellStyle name="Standaard 2" xfId="42" xr:uid="{821FEDCB-95DF-4316-A4C8-B89D6ADAB12B}"/>
    <cellStyle name="Titel" xfId="2" builtinId="15" customBuiltin="1"/>
    <cellStyle name="Totaal" xfId="17" builtinId="25" customBuiltin="1"/>
    <cellStyle name="Uitvoer" xfId="11" builtinId="21" customBuiltin="1"/>
    <cellStyle name="Verklarende tekst" xfId="16" builtinId="53" customBuiltin="1"/>
    <cellStyle name="Waarschuwingstekst" xfId="15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08"/>
  <sheetViews>
    <sheetView tabSelected="1" topLeftCell="A74" workbookViewId="0">
      <selection activeCell="M102" sqref="M102"/>
    </sheetView>
  </sheetViews>
  <sheetFormatPr defaultRowHeight="15" x14ac:dyDescent="0.25"/>
  <cols>
    <col min="1" max="1" width="8.140625" customWidth="1"/>
    <col min="2" max="2" width="23" customWidth="1"/>
    <col min="3" max="3" width="1" customWidth="1"/>
    <col min="4" max="4" width="23.85546875" customWidth="1"/>
    <col min="5" max="6" width="9.42578125" customWidth="1"/>
    <col min="7" max="7" width="8.7109375" customWidth="1"/>
    <col min="8" max="8" width="7.85546875" customWidth="1"/>
    <col min="9" max="9" width="8" customWidth="1"/>
    <col min="10" max="10" width="7.5703125" customWidth="1"/>
    <col min="11" max="11" width="10" customWidth="1"/>
    <col min="12" max="12" width="5" customWidth="1"/>
    <col min="13" max="13" width="10" customWidth="1"/>
    <col min="14" max="14" width="6" customWidth="1"/>
    <col min="15" max="15" width="11.5703125" bestFit="1" customWidth="1"/>
    <col min="16" max="17" width="5" customWidth="1"/>
    <col min="18" max="37" width="10" customWidth="1"/>
    <col min="38" max="38" width="11.5703125" customWidth="1"/>
    <col min="39" max="39" width="12" customWidth="1"/>
    <col min="40" max="40" width="10" customWidth="1"/>
    <col min="41" max="41" width="25" customWidth="1"/>
    <col min="42" max="42" width="37" customWidth="1"/>
  </cols>
  <sheetData>
    <row r="1" spans="1:45" ht="26.25" x14ac:dyDescent="0.25">
      <c r="B1" s="244" t="s">
        <v>54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x14ac:dyDescent="0.25">
      <c r="B4" s="4" t="s">
        <v>0</v>
      </c>
      <c r="C4" s="5"/>
      <c r="D4" s="5"/>
      <c r="E4" s="4" t="s">
        <v>1</v>
      </c>
      <c r="F4" s="4"/>
      <c r="G4" s="2"/>
      <c r="H4" s="2"/>
      <c r="I4" s="2"/>
      <c r="J4" s="2"/>
      <c r="K4" s="245" t="s">
        <v>2</v>
      </c>
      <c r="L4" s="245"/>
      <c r="M4" s="245"/>
      <c r="N4" s="245"/>
      <c r="O4" s="2"/>
      <c r="P4" s="4" t="s">
        <v>3</v>
      </c>
      <c r="Q4" s="2"/>
      <c r="R4" s="2"/>
      <c r="S4" s="2"/>
      <c r="T4" s="2"/>
      <c r="U4" s="2"/>
      <c r="V4" s="4" t="s">
        <v>164</v>
      </c>
      <c r="W4" s="5"/>
      <c r="X4" s="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x14ac:dyDescent="0.25">
      <c r="B5" s="2" t="s">
        <v>4</v>
      </c>
      <c r="C5" s="5" t="s">
        <v>5</v>
      </c>
      <c r="D5" s="5">
        <v>2022</v>
      </c>
      <c r="E5" s="2" t="s">
        <v>6</v>
      </c>
      <c r="F5" s="2"/>
      <c r="G5" s="2"/>
      <c r="H5" s="2" t="s">
        <v>7</v>
      </c>
      <c r="I5" s="2"/>
      <c r="J5" s="9"/>
      <c r="K5" s="246" t="s">
        <v>8</v>
      </c>
      <c r="L5" s="238"/>
      <c r="M5" s="238"/>
      <c r="N5" s="239"/>
      <c r="O5" s="2"/>
      <c r="P5" s="2" t="s">
        <v>9</v>
      </c>
      <c r="Q5" s="243" t="s">
        <v>10</v>
      </c>
      <c r="R5" s="243"/>
      <c r="S5" s="243"/>
      <c r="T5" s="243"/>
      <c r="U5" s="243"/>
      <c r="V5" s="63" t="s">
        <v>150</v>
      </c>
      <c r="W5" s="64" t="s">
        <v>159</v>
      </c>
      <c r="X5" s="65"/>
      <c r="Y5" s="65"/>
      <c r="Z5" s="65"/>
      <c r="AA5" s="65"/>
      <c r="AB5" s="65"/>
      <c r="AC5" s="65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x14ac:dyDescent="0.25">
      <c r="B6" s="2" t="s">
        <v>11</v>
      </c>
      <c r="C6" s="5" t="s">
        <v>5</v>
      </c>
      <c r="D6" s="5" t="s">
        <v>12</v>
      </c>
      <c r="E6" s="2" t="s">
        <v>13</v>
      </c>
      <c r="F6" s="2"/>
      <c r="G6" s="2"/>
      <c r="H6" s="2" t="s">
        <v>14</v>
      </c>
      <c r="I6" s="2"/>
      <c r="J6" s="9"/>
      <c r="K6" s="247" t="s">
        <v>15</v>
      </c>
      <c r="L6" s="238"/>
      <c r="M6" s="238"/>
      <c r="N6" s="239"/>
      <c r="O6" s="2"/>
      <c r="P6" s="2" t="s">
        <v>16</v>
      </c>
      <c r="Q6" s="243" t="s">
        <v>17</v>
      </c>
      <c r="R6" s="243"/>
      <c r="S6" s="243"/>
      <c r="T6" s="243"/>
      <c r="U6" s="243"/>
      <c r="V6" s="41" t="s">
        <v>156</v>
      </c>
      <c r="W6" s="59" t="s">
        <v>160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x14ac:dyDescent="0.25">
      <c r="B7" s="2" t="s">
        <v>18</v>
      </c>
      <c r="C7" s="5" t="s">
        <v>5</v>
      </c>
      <c r="D7" s="5">
        <v>2022</v>
      </c>
      <c r="E7" s="2"/>
      <c r="F7" s="2"/>
      <c r="G7" s="2"/>
      <c r="H7" s="2"/>
      <c r="I7" s="2"/>
      <c r="J7" s="9"/>
      <c r="K7" s="248" t="s">
        <v>19</v>
      </c>
      <c r="L7" s="238"/>
      <c r="M7" s="238"/>
      <c r="N7" s="239"/>
      <c r="O7" s="2"/>
      <c r="P7" s="2" t="s">
        <v>20</v>
      </c>
      <c r="Q7" s="243" t="s">
        <v>21</v>
      </c>
      <c r="R7" s="243"/>
      <c r="S7" s="243"/>
      <c r="T7" s="243"/>
      <c r="U7" s="243"/>
      <c r="V7" s="66" t="s">
        <v>157</v>
      </c>
      <c r="W7" s="67" t="s">
        <v>161</v>
      </c>
      <c r="X7" s="68"/>
      <c r="Y7" s="68"/>
      <c r="Z7" s="68"/>
      <c r="AA7" s="68"/>
      <c r="AB7" s="68"/>
      <c r="AC7" s="68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x14ac:dyDescent="0.25">
      <c r="B8" s="2"/>
      <c r="G8" s="2"/>
      <c r="H8" s="2"/>
      <c r="I8" s="2"/>
      <c r="J8" s="9"/>
      <c r="K8" s="237" t="s">
        <v>22</v>
      </c>
      <c r="L8" s="238"/>
      <c r="M8" s="238"/>
      <c r="N8" s="239"/>
      <c r="O8" s="2"/>
      <c r="P8" s="2" t="s">
        <v>23</v>
      </c>
      <c r="Q8" s="243" t="s">
        <v>24</v>
      </c>
      <c r="R8" s="243"/>
      <c r="S8" s="243"/>
      <c r="T8" s="243"/>
      <c r="U8" s="243"/>
      <c r="V8" s="69" t="s">
        <v>158</v>
      </c>
      <c r="W8" s="69" t="s">
        <v>162</v>
      </c>
      <c r="X8" s="70"/>
      <c r="Y8" s="70"/>
      <c r="Z8" s="70"/>
      <c r="AA8" s="70"/>
      <c r="AB8" s="70"/>
      <c r="AC8" s="70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25">
      <c r="B9" s="2" t="s">
        <v>220</v>
      </c>
      <c r="C9" s="5" t="s">
        <v>221</v>
      </c>
      <c r="D9" s="41" t="s">
        <v>222</v>
      </c>
      <c r="G9" s="2"/>
      <c r="H9" s="2"/>
      <c r="I9" s="2"/>
      <c r="J9" s="9"/>
      <c r="K9" s="240" t="s">
        <v>25</v>
      </c>
      <c r="L9" s="238"/>
      <c r="M9" s="238"/>
      <c r="N9" s="239"/>
      <c r="O9" s="2"/>
      <c r="P9" s="2"/>
      <c r="Q9" s="2"/>
      <c r="R9" s="2"/>
      <c r="S9" s="2"/>
      <c r="T9" s="2"/>
      <c r="U9" s="2"/>
      <c r="V9" s="71" t="s">
        <v>149</v>
      </c>
      <c r="W9" s="71" t="s">
        <v>153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25">
      <c r="A10" s="66" t="s">
        <v>243</v>
      </c>
      <c r="G10" s="2"/>
      <c r="H10" s="2"/>
      <c r="I10" s="2"/>
      <c r="J10" s="9"/>
      <c r="K10" s="241" t="s">
        <v>26</v>
      </c>
      <c r="L10" s="238"/>
      <c r="M10" s="238"/>
      <c r="N10" s="23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5">
      <c r="A11" s="66" t="s">
        <v>244</v>
      </c>
      <c r="G11" s="2"/>
      <c r="H11" s="2"/>
      <c r="I11" s="2"/>
      <c r="J11" s="9"/>
      <c r="K11" s="242" t="s">
        <v>27</v>
      </c>
      <c r="L11" s="238"/>
      <c r="M11" s="238"/>
      <c r="N11" s="23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25">
      <c r="A12" s="66" t="s">
        <v>245</v>
      </c>
      <c r="B12" s="2"/>
      <c r="C12" s="2"/>
      <c r="D12" s="2"/>
      <c r="E12" s="2"/>
      <c r="F12" s="2"/>
      <c r="G12" s="2"/>
      <c r="H12" s="2"/>
      <c r="I12" s="2"/>
      <c r="J12" s="2"/>
      <c r="K12" s="11"/>
      <c r="L12" s="11"/>
      <c r="M12" s="11"/>
      <c r="N12" s="1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7.25" x14ac:dyDescent="0.25">
      <c r="A13" s="212"/>
      <c r="B13" s="254" t="s">
        <v>28</v>
      </c>
      <c r="C13" s="254"/>
      <c r="D13" s="254"/>
      <c r="E13" s="254"/>
      <c r="F13" s="39"/>
      <c r="G13" s="254" t="s">
        <v>29</v>
      </c>
      <c r="H13" s="254"/>
      <c r="I13" s="254"/>
      <c r="J13" s="254"/>
      <c r="K13" s="254"/>
      <c r="L13" s="254"/>
      <c r="M13" s="254"/>
      <c r="N13" s="254"/>
      <c r="O13" s="254"/>
      <c r="P13" s="254"/>
      <c r="Q13" s="257"/>
      <c r="R13" s="254" t="s">
        <v>30</v>
      </c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3" t="s">
        <v>55</v>
      </c>
      <c r="AM13" s="254"/>
      <c r="AN13" s="255"/>
      <c r="AO13" s="254" t="s">
        <v>31</v>
      </c>
      <c r="AP13" s="254"/>
      <c r="AQ13" s="2"/>
      <c r="AR13" s="2"/>
      <c r="AS13" s="2"/>
    </row>
    <row r="14" spans="1:45" x14ac:dyDescent="0.25">
      <c r="A14" s="200" t="s">
        <v>240</v>
      </c>
      <c r="B14" s="250"/>
      <c r="C14" s="256"/>
      <c r="D14" s="256"/>
      <c r="E14" s="256"/>
      <c r="F14" s="211" t="s">
        <v>242</v>
      </c>
      <c r="G14" s="6" t="s">
        <v>9</v>
      </c>
      <c r="H14" s="6" t="s">
        <v>16</v>
      </c>
      <c r="I14" s="6" t="s">
        <v>32</v>
      </c>
      <c r="J14" s="6" t="s">
        <v>20</v>
      </c>
      <c r="K14" s="6" t="s">
        <v>33</v>
      </c>
      <c r="L14" s="6" t="s">
        <v>34</v>
      </c>
      <c r="M14" s="6" t="s">
        <v>33</v>
      </c>
      <c r="N14" s="6" t="s">
        <v>23</v>
      </c>
      <c r="O14" s="6" t="s">
        <v>35</v>
      </c>
      <c r="P14" s="6" t="s">
        <v>56</v>
      </c>
      <c r="Q14" s="14" t="s">
        <v>57</v>
      </c>
      <c r="R14" s="6">
        <v>2022</v>
      </c>
      <c r="S14" s="6">
        <v>2023</v>
      </c>
      <c r="T14" s="6">
        <v>2024</v>
      </c>
      <c r="U14" s="6">
        <v>2025</v>
      </c>
      <c r="V14" s="6">
        <v>2026</v>
      </c>
      <c r="W14" s="6">
        <v>2027</v>
      </c>
      <c r="X14" s="6">
        <v>2028</v>
      </c>
      <c r="Y14" s="6">
        <v>2029</v>
      </c>
      <c r="Z14" s="6">
        <v>2030</v>
      </c>
      <c r="AA14" s="6">
        <v>2031</v>
      </c>
      <c r="AB14" s="6">
        <v>2032</v>
      </c>
      <c r="AC14" s="6">
        <v>2033</v>
      </c>
      <c r="AD14" s="6">
        <v>2034</v>
      </c>
      <c r="AE14" s="6">
        <v>2035</v>
      </c>
      <c r="AF14" s="6">
        <v>2036</v>
      </c>
      <c r="AG14" s="6">
        <v>2037</v>
      </c>
      <c r="AH14" s="6">
        <v>2038</v>
      </c>
      <c r="AI14" s="6">
        <v>2039</v>
      </c>
      <c r="AJ14" s="6">
        <v>2040</v>
      </c>
      <c r="AK14" s="6">
        <v>2041</v>
      </c>
      <c r="AL14" s="32" t="s">
        <v>58</v>
      </c>
      <c r="AM14" s="6" t="s">
        <v>59</v>
      </c>
      <c r="AN14" s="35" t="s">
        <v>60</v>
      </c>
      <c r="AO14" s="256"/>
      <c r="AP14" s="256"/>
      <c r="AQ14" s="37"/>
      <c r="AR14" s="37"/>
      <c r="AS14" s="2"/>
    </row>
    <row r="15" spans="1:45" ht="17.25" x14ac:dyDescent="0.25">
      <c r="A15" s="38"/>
      <c r="B15" s="249" t="s">
        <v>36</v>
      </c>
      <c r="C15" s="250"/>
      <c r="D15" s="250"/>
      <c r="E15" s="249"/>
      <c r="F15" s="230"/>
      <c r="G15" s="7"/>
      <c r="H15" s="7"/>
      <c r="I15" s="7"/>
      <c r="J15" s="7"/>
      <c r="K15" s="7"/>
      <c r="L15" s="7"/>
      <c r="M15" s="7"/>
      <c r="N15" s="7"/>
      <c r="O15" s="7"/>
      <c r="P15" s="7"/>
      <c r="Q15" s="15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33"/>
      <c r="AM15" s="16"/>
      <c r="AN15" s="36"/>
      <c r="AO15" s="251"/>
      <c r="AP15" s="251"/>
      <c r="AQ15" s="2"/>
      <c r="AR15" s="2"/>
      <c r="AS15" s="2"/>
    </row>
    <row r="16" spans="1:45" x14ac:dyDescent="0.25">
      <c r="A16" s="43" t="s">
        <v>150</v>
      </c>
      <c r="B16" s="252" t="s">
        <v>37</v>
      </c>
      <c r="C16" s="250"/>
      <c r="D16" s="250"/>
      <c r="E16" s="250"/>
      <c r="F16" s="231" t="s">
        <v>150</v>
      </c>
      <c r="G16" s="1">
        <v>0</v>
      </c>
      <c r="H16" s="6">
        <v>3</v>
      </c>
      <c r="I16" s="8">
        <v>1</v>
      </c>
      <c r="J16" s="10" t="s">
        <v>38</v>
      </c>
      <c r="K16" s="12">
        <v>2000</v>
      </c>
      <c r="L16" s="6" t="s">
        <v>39</v>
      </c>
      <c r="M16" s="12">
        <v>2589.4</v>
      </c>
      <c r="N16" s="13">
        <v>1</v>
      </c>
      <c r="O16" s="12">
        <v>2589</v>
      </c>
      <c r="P16" s="6">
        <v>2022</v>
      </c>
      <c r="Q16" s="14"/>
      <c r="R16" s="17">
        <v>2589</v>
      </c>
      <c r="S16" s="17"/>
      <c r="T16" s="17"/>
      <c r="U16" s="17">
        <v>2589</v>
      </c>
      <c r="V16" s="17"/>
      <c r="W16" s="17"/>
      <c r="X16" s="17">
        <v>2589</v>
      </c>
      <c r="Y16" s="17"/>
      <c r="Z16" s="17"/>
      <c r="AA16" s="17">
        <v>2589</v>
      </c>
      <c r="AB16" s="17"/>
      <c r="AC16" s="17"/>
      <c r="AD16" s="17">
        <v>2589</v>
      </c>
      <c r="AE16" s="17"/>
      <c r="AF16" s="17"/>
      <c r="AG16" s="17">
        <v>2589</v>
      </c>
      <c r="AH16" s="17"/>
      <c r="AI16" s="17"/>
      <c r="AJ16" s="17">
        <v>2589</v>
      </c>
      <c r="AK16" s="17"/>
      <c r="AL16" s="21">
        <v>906</v>
      </c>
      <c r="AM16" s="17">
        <v>863</v>
      </c>
      <c r="AN16" s="24">
        <v>18123</v>
      </c>
      <c r="AO16" s="252" t="s">
        <v>40</v>
      </c>
      <c r="AP16" s="250"/>
      <c r="AQ16" s="2"/>
      <c r="AR16" s="2"/>
      <c r="AS16" s="2"/>
    </row>
    <row r="17" spans="1:45" x14ac:dyDescent="0.25">
      <c r="A17" s="43" t="s">
        <v>150</v>
      </c>
      <c r="B17" s="252" t="s">
        <v>61</v>
      </c>
      <c r="C17" s="250"/>
      <c r="D17" s="250"/>
      <c r="E17" s="250"/>
      <c r="F17" s="231" t="s">
        <v>150</v>
      </c>
      <c r="G17" s="19">
        <v>1</v>
      </c>
      <c r="H17" s="6">
        <v>60</v>
      </c>
      <c r="I17" s="8">
        <v>2384</v>
      </c>
      <c r="J17" s="10" t="s">
        <v>62</v>
      </c>
      <c r="K17" s="12">
        <v>753.38</v>
      </c>
      <c r="L17" s="6" t="s">
        <v>39</v>
      </c>
      <c r="M17" s="12">
        <v>975.40108376677995</v>
      </c>
      <c r="N17" s="13">
        <v>1</v>
      </c>
      <c r="O17" s="12">
        <v>2325356</v>
      </c>
      <c r="P17" s="6">
        <v>2077</v>
      </c>
      <c r="Q17" s="14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21">
        <v>0</v>
      </c>
      <c r="AM17" s="17">
        <v>38756</v>
      </c>
      <c r="AN17" s="24">
        <v>0</v>
      </c>
      <c r="AO17" s="252" t="s">
        <v>63</v>
      </c>
      <c r="AP17" s="250"/>
      <c r="AQ17" s="2"/>
      <c r="AR17" s="2"/>
      <c r="AS17" s="2"/>
    </row>
    <row r="18" spans="1:45" x14ac:dyDescent="0.25">
      <c r="A18" s="43" t="s">
        <v>150</v>
      </c>
      <c r="B18" s="258" t="s">
        <v>64</v>
      </c>
      <c r="C18" s="259"/>
      <c r="D18" s="259"/>
      <c r="E18" s="259"/>
      <c r="F18" s="231" t="s">
        <v>150</v>
      </c>
      <c r="G18" s="19">
        <v>1</v>
      </c>
      <c r="H18" s="26">
        <v>40</v>
      </c>
      <c r="I18" s="27">
        <v>104</v>
      </c>
      <c r="J18" s="28" t="s">
        <v>62</v>
      </c>
      <c r="K18" s="29">
        <v>168.45</v>
      </c>
      <c r="L18" s="26" t="s">
        <v>39</v>
      </c>
      <c r="M18" s="29">
        <v>218.09226153846001</v>
      </c>
      <c r="N18" s="30">
        <v>1</v>
      </c>
      <c r="O18" s="29">
        <v>22682</v>
      </c>
      <c r="P18" s="26">
        <v>2057</v>
      </c>
      <c r="Q18" s="3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2">
        <v>0</v>
      </c>
      <c r="AM18" s="23">
        <v>567</v>
      </c>
      <c r="AN18" s="25">
        <v>0</v>
      </c>
      <c r="AO18" s="258" t="s">
        <v>65</v>
      </c>
      <c r="AP18" s="250"/>
      <c r="AQ18" s="2"/>
      <c r="AR18" s="2"/>
      <c r="AS18" s="2"/>
    </row>
    <row r="19" spans="1:45" x14ac:dyDescent="0.25">
      <c r="A19" s="43" t="s">
        <v>150</v>
      </c>
      <c r="B19" s="252" t="s">
        <v>66</v>
      </c>
      <c r="C19" s="250"/>
      <c r="D19" s="250"/>
      <c r="E19" s="250"/>
      <c r="F19" s="231" t="s">
        <v>150</v>
      </c>
      <c r="G19" s="19">
        <v>1</v>
      </c>
      <c r="H19" s="6">
        <v>10</v>
      </c>
      <c r="I19" s="8">
        <v>1</v>
      </c>
      <c r="J19" s="10" t="s">
        <v>38</v>
      </c>
      <c r="K19" s="12">
        <v>3500</v>
      </c>
      <c r="L19" s="6" t="s">
        <v>39</v>
      </c>
      <c r="M19" s="12">
        <v>4531.45</v>
      </c>
      <c r="N19" s="13">
        <v>1</v>
      </c>
      <c r="O19" s="12">
        <v>4531</v>
      </c>
      <c r="P19" s="6">
        <v>2027</v>
      </c>
      <c r="Q19" s="14"/>
      <c r="R19" s="17"/>
      <c r="S19" s="17"/>
      <c r="T19" s="17"/>
      <c r="U19" s="17"/>
      <c r="V19" s="17"/>
      <c r="W19" s="17">
        <v>4531</v>
      </c>
      <c r="X19" s="17"/>
      <c r="Y19" s="17"/>
      <c r="Z19" s="17"/>
      <c r="AA19" s="17"/>
      <c r="AB19" s="17"/>
      <c r="AC19" s="17"/>
      <c r="AD19" s="17"/>
      <c r="AE19" s="17"/>
      <c r="AF19" s="17"/>
      <c r="AG19" s="17">
        <v>4531</v>
      </c>
      <c r="AH19" s="17"/>
      <c r="AI19" s="17"/>
      <c r="AJ19" s="17"/>
      <c r="AK19" s="17"/>
      <c r="AL19" s="21">
        <v>453</v>
      </c>
      <c r="AM19" s="17">
        <v>453</v>
      </c>
      <c r="AN19" s="24">
        <v>9062</v>
      </c>
      <c r="AO19" s="252" t="s">
        <v>67</v>
      </c>
      <c r="AP19" s="250"/>
      <c r="AQ19" s="2"/>
      <c r="AR19" s="2"/>
      <c r="AS19" s="2"/>
    </row>
    <row r="20" spans="1:45" ht="17.25" x14ac:dyDescent="0.25">
      <c r="A20" s="38"/>
      <c r="B20" s="249" t="s">
        <v>41</v>
      </c>
      <c r="C20" s="259"/>
      <c r="D20" s="259"/>
      <c r="E20" s="249"/>
      <c r="F20" s="230"/>
      <c r="G20" s="7"/>
      <c r="H20" s="7"/>
      <c r="I20" s="7"/>
      <c r="J20" s="7"/>
      <c r="K20" s="7"/>
      <c r="L20" s="7"/>
      <c r="M20" s="7"/>
      <c r="N20" s="7"/>
      <c r="O20" s="7"/>
      <c r="P20" s="7"/>
      <c r="Q20" s="15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33"/>
      <c r="AM20" s="16"/>
      <c r="AN20" s="36"/>
      <c r="AO20" s="251"/>
      <c r="AP20" s="251"/>
      <c r="AQ20" s="2"/>
      <c r="AR20" s="2"/>
      <c r="AS20" s="2"/>
    </row>
    <row r="21" spans="1:45" x14ac:dyDescent="0.25">
      <c r="A21" s="43" t="s">
        <v>150</v>
      </c>
      <c r="B21" s="252" t="s">
        <v>68</v>
      </c>
      <c r="C21" s="250"/>
      <c r="D21" s="250"/>
      <c r="E21" s="250"/>
      <c r="F21" s="231" t="s">
        <v>150</v>
      </c>
      <c r="G21" s="1">
        <v>0</v>
      </c>
      <c r="H21" s="6">
        <v>25</v>
      </c>
      <c r="I21" s="8">
        <v>1</v>
      </c>
      <c r="J21" s="10" t="s">
        <v>38</v>
      </c>
      <c r="K21" s="12">
        <v>2500</v>
      </c>
      <c r="L21" s="6" t="s">
        <v>39</v>
      </c>
      <c r="M21" s="12">
        <v>3236.75</v>
      </c>
      <c r="N21" s="13">
        <v>1</v>
      </c>
      <c r="O21" s="12">
        <v>3237</v>
      </c>
      <c r="P21" s="6">
        <v>2042</v>
      </c>
      <c r="Q21" s="14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21">
        <v>0</v>
      </c>
      <c r="AM21" s="17">
        <v>129</v>
      </c>
      <c r="AN21" s="24">
        <v>0</v>
      </c>
      <c r="AO21" s="252" t="s">
        <v>69</v>
      </c>
      <c r="AP21" s="250"/>
      <c r="AQ21" s="2"/>
      <c r="AR21" s="2"/>
      <c r="AS21" s="2"/>
    </row>
    <row r="22" spans="1:45" x14ac:dyDescent="0.25">
      <c r="A22" s="43" t="s">
        <v>150</v>
      </c>
      <c r="B22" s="252" t="s">
        <v>70</v>
      </c>
      <c r="C22" s="250"/>
      <c r="D22" s="250"/>
      <c r="E22" s="250"/>
      <c r="F22" s="231" t="s">
        <v>150</v>
      </c>
      <c r="G22" s="1">
        <v>0</v>
      </c>
      <c r="H22" s="6">
        <v>25</v>
      </c>
      <c r="I22" s="8">
        <v>1</v>
      </c>
      <c r="J22" s="10" t="s">
        <v>38</v>
      </c>
      <c r="K22" s="12">
        <v>4000</v>
      </c>
      <c r="L22" s="6" t="s">
        <v>39</v>
      </c>
      <c r="M22" s="12">
        <v>5178.8</v>
      </c>
      <c r="N22" s="13">
        <v>1</v>
      </c>
      <c r="O22" s="12">
        <v>5179</v>
      </c>
      <c r="P22" s="6">
        <v>2042</v>
      </c>
      <c r="Q22" s="14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21">
        <v>0</v>
      </c>
      <c r="AM22" s="17">
        <v>207</v>
      </c>
      <c r="AN22" s="24">
        <v>0</v>
      </c>
      <c r="AO22" s="252" t="s">
        <v>71</v>
      </c>
      <c r="AP22" s="250"/>
      <c r="AQ22" s="2"/>
      <c r="AR22" s="2"/>
      <c r="AS22" s="2"/>
    </row>
    <row r="23" spans="1:45" ht="30" customHeight="1" x14ac:dyDescent="0.25">
      <c r="A23" s="43" t="s">
        <v>150</v>
      </c>
      <c r="B23" s="258" t="s">
        <v>72</v>
      </c>
      <c r="C23" s="259"/>
      <c r="D23" s="259"/>
      <c r="E23" s="259"/>
      <c r="F23" s="231" t="s">
        <v>150</v>
      </c>
      <c r="G23" s="19">
        <v>1</v>
      </c>
      <c r="H23" s="26">
        <v>50</v>
      </c>
      <c r="I23" s="27">
        <v>634</v>
      </c>
      <c r="J23" s="28" t="s">
        <v>62</v>
      </c>
      <c r="K23" s="29">
        <v>62.91</v>
      </c>
      <c r="L23" s="26" t="s">
        <v>39</v>
      </c>
      <c r="M23" s="29">
        <v>81.449585015772996</v>
      </c>
      <c r="N23" s="30">
        <v>1</v>
      </c>
      <c r="O23" s="29">
        <v>51639</v>
      </c>
      <c r="P23" s="26">
        <v>2042</v>
      </c>
      <c r="Q23" s="31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2">
        <v>0</v>
      </c>
      <c r="AM23" s="23">
        <v>1033</v>
      </c>
      <c r="AN23" s="25">
        <v>0</v>
      </c>
      <c r="AO23" s="258" t="s">
        <v>73</v>
      </c>
      <c r="AP23" s="250"/>
      <c r="AQ23" s="2"/>
      <c r="AR23" s="2"/>
      <c r="AS23" s="2"/>
    </row>
    <row r="24" spans="1:45" ht="30" customHeight="1" x14ac:dyDescent="0.25">
      <c r="A24" s="43" t="s">
        <v>150</v>
      </c>
      <c r="B24" s="252" t="s">
        <v>74</v>
      </c>
      <c r="C24" s="250"/>
      <c r="D24" s="250"/>
      <c r="E24" s="250"/>
      <c r="F24" s="231" t="s">
        <v>150</v>
      </c>
      <c r="G24" s="1">
        <v>0</v>
      </c>
      <c r="H24" s="6">
        <v>50</v>
      </c>
      <c r="I24" s="8">
        <v>634</v>
      </c>
      <c r="J24" s="10" t="s">
        <v>62</v>
      </c>
      <c r="K24" s="12">
        <v>94.37</v>
      </c>
      <c r="L24" s="6" t="s">
        <v>39</v>
      </c>
      <c r="M24" s="12">
        <v>122.18083785489</v>
      </c>
      <c r="N24" s="13">
        <v>1</v>
      </c>
      <c r="O24" s="12">
        <v>77463</v>
      </c>
      <c r="P24" s="6">
        <v>2067</v>
      </c>
      <c r="Q24" s="14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21">
        <v>0</v>
      </c>
      <c r="AM24" s="17">
        <v>1549</v>
      </c>
      <c r="AN24" s="24">
        <v>0</v>
      </c>
      <c r="AO24" s="252" t="s">
        <v>75</v>
      </c>
      <c r="AP24" s="250"/>
      <c r="AQ24" s="2"/>
      <c r="AR24" s="2"/>
      <c r="AS24" s="2"/>
    </row>
    <row r="25" spans="1:45" x14ac:dyDescent="0.25">
      <c r="A25" s="43" t="s">
        <v>150</v>
      </c>
      <c r="B25" s="258" t="s">
        <v>76</v>
      </c>
      <c r="C25" s="259"/>
      <c r="D25" s="259"/>
      <c r="E25" s="259"/>
      <c r="F25" s="231" t="s">
        <v>150</v>
      </c>
      <c r="G25" s="19">
        <v>1</v>
      </c>
      <c r="H25" s="26">
        <v>50</v>
      </c>
      <c r="I25" s="27">
        <v>100</v>
      </c>
      <c r="J25" s="28" t="s">
        <v>62</v>
      </c>
      <c r="K25" s="29">
        <v>37.85</v>
      </c>
      <c r="L25" s="26" t="s">
        <v>39</v>
      </c>
      <c r="M25" s="29">
        <v>49.004395000000002</v>
      </c>
      <c r="N25" s="30">
        <v>1</v>
      </c>
      <c r="O25" s="29">
        <v>4900</v>
      </c>
      <c r="P25" s="26">
        <v>2067</v>
      </c>
      <c r="Q25" s="31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2">
        <v>0</v>
      </c>
      <c r="AM25" s="23">
        <v>98</v>
      </c>
      <c r="AN25" s="25">
        <v>0</v>
      </c>
      <c r="AO25" s="258" t="s">
        <v>77</v>
      </c>
      <c r="AP25" s="250"/>
      <c r="AQ25" s="2"/>
      <c r="AR25" s="2"/>
      <c r="AS25" s="2"/>
    </row>
    <row r="26" spans="1:45" ht="30" customHeight="1" x14ac:dyDescent="0.25">
      <c r="A26" s="43" t="s">
        <v>150</v>
      </c>
      <c r="B26" s="252" t="s">
        <v>72</v>
      </c>
      <c r="C26" s="250"/>
      <c r="D26" s="250"/>
      <c r="E26" s="250"/>
      <c r="F26" s="231" t="s">
        <v>150</v>
      </c>
      <c r="G26" s="19">
        <v>1</v>
      </c>
      <c r="H26" s="6">
        <v>50</v>
      </c>
      <c r="I26" s="8">
        <v>316</v>
      </c>
      <c r="J26" s="10" t="s">
        <v>62</v>
      </c>
      <c r="K26" s="12">
        <v>62.91</v>
      </c>
      <c r="L26" s="6" t="s">
        <v>39</v>
      </c>
      <c r="M26" s="12">
        <v>81.449580063290995</v>
      </c>
      <c r="N26" s="13">
        <v>1</v>
      </c>
      <c r="O26" s="12">
        <v>25738</v>
      </c>
      <c r="P26" s="6">
        <v>2042</v>
      </c>
      <c r="Q26" s="14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21">
        <v>0</v>
      </c>
      <c r="AM26" s="17">
        <v>515</v>
      </c>
      <c r="AN26" s="24">
        <v>0</v>
      </c>
      <c r="AO26" s="252" t="s">
        <v>78</v>
      </c>
      <c r="AP26" s="250"/>
      <c r="AQ26" s="2"/>
      <c r="AR26" s="2"/>
      <c r="AS26" s="2"/>
    </row>
    <row r="27" spans="1:45" ht="30" customHeight="1" x14ac:dyDescent="0.25">
      <c r="A27" s="43" t="s">
        <v>150</v>
      </c>
      <c r="B27" s="258" t="s">
        <v>74</v>
      </c>
      <c r="C27" s="259"/>
      <c r="D27" s="259"/>
      <c r="E27" s="259"/>
      <c r="F27" s="231" t="s">
        <v>150</v>
      </c>
      <c r="G27" s="1">
        <v>0</v>
      </c>
      <c r="H27" s="26">
        <v>50</v>
      </c>
      <c r="I27" s="27">
        <v>316</v>
      </c>
      <c r="J27" s="28" t="s">
        <v>62</v>
      </c>
      <c r="K27" s="29">
        <v>94.37</v>
      </c>
      <c r="L27" s="26" t="s">
        <v>39</v>
      </c>
      <c r="M27" s="29">
        <v>122.1808221519</v>
      </c>
      <c r="N27" s="30">
        <v>1</v>
      </c>
      <c r="O27" s="29">
        <v>38609</v>
      </c>
      <c r="P27" s="26">
        <v>2067</v>
      </c>
      <c r="Q27" s="31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2">
        <v>0</v>
      </c>
      <c r="AM27" s="23">
        <v>772</v>
      </c>
      <c r="AN27" s="25">
        <v>0</v>
      </c>
      <c r="AO27" s="258" t="s">
        <v>79</v>
      </c>
      <c r="AP27" s="250"/>
      <c r="AQ27" s="2"/>
      <c r="AR27" s="2"/>
      <c r="AS27" s="2"/>
    </row>
    <row r="28" spans="1:45" x14ac:dyDescent="0.25">
      <c r="A28" s="43" t="s">
        <v>150</v>
      </c>
      <c r="B28" s="252" t="s">
        <v>76</v>
      </c>
      <c r="C28" s="250"/>
      <c r="D28" s="250"/>
      <c r="E28" s="250"/>
      <c r="F28" s="231" t="s">
        <v>150</v>
      </c>
      <c r="G28" s="19">
        <v>1</v>
      </c>
      <c r="H28" s="6">
        <v>50</v>
      </c>
      <c r="I28" s="8">
        <v>316</v>
      </c>
      <c r="J28" s="10" t="s">
        <v>62</v>
      </c>
      <c r="K28" s="12">
        <v>37.85</v>
      </c>
      <c r="L28" s="6" t="s">
        <v>39</v>
      </c>
      <c r="M28" s="12">
        <v>49.004387341772002</v>
      </c>
      <c r="N28" s="13">
        <v>1</v>
      </c>
      <c r="O28" s="12">
        <v>15485</v>
      </c>
      <c r="P28" s="6">
        <v>2067</v>
      </c>
      <c r="Q28" s="14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21">
        <v>0</v>
      </c>
      <c r="AM28" s="17">
        <v>310</v>
      </c>
      <c r="AN28" s="24">
        <v>0</v>
      </c>
      <c r="AO28" s="252" t="s">
        <v>80</v>
      </c>
      <c r="AP28" s="250"/>
      <c r="AQ28" s="2"/>
      <c r="AR28" s="2"/>
      <c r="AS28" s="2"/>
    </row>
    <row r="29" spans="1:45" x14ac:dyDescent="0.25">
      <c r="A29" s="43" t="s">
        <v>150</v>
      </c>
      <c r="B29" s="258" t="s">
        <v>81</v>
      </c>
      <c r="C29" s="259"/>
      <c r="D29" s="259"/>
      <c r="E29" s="259"/>
      <c r="F29" s="231" t="s">
        <v>150</v>
      </c>
      <c r="G29" s="19">
        <v>1</v>
      </c>
      <c r="H29" s="26">
        <v>40</v>
      </c>
      <c r="I29" s="27">
        <v>110</v>
      </c>
      <c r="J29" s="28" t="s">
        <v>62</v>
      </c>
      <c r="K29" s="29">
        <v>69.569999999999993</v>
      </c>
      <c r="L29" s="26" t="s">
        <v>39</v>
      </c>
      <c r="M29" s="29">
        <v>90.072289999999995</v>
      </c>
      <c r="N29" s="30">
        <v>1</v>
      </c>
      <c r="O29" s="29">
        <v>9908</v>
      </c>
      <c r="P29" s="26">
        <v>2057</v>
      </c>
      <c r="Q29" s="31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2">
        <v>0</v>
      </c>
      <c r="AM29" s="23">
        <v>248</v>
      </c>
      <c r="AN29" s="25">
        <v>0</v>
      </c>
      <c r="AO29" s="258" t="s">
        <v>82</v>
      </c>
      <c r="AP29" s="250"/>
      <c r="AQ29" s="2"/>
      <c r="AR29" s="2"/>
      <c r="AS29" s="2"/>
    </row>
    <row r="30" spans="1:45" x14ac:dyDescent="0.25">
      <c r="A30" s="43" t="s">
        <v>150</v>
      </c>
      <c r="B30" s="252" t="s">
        <v>83</v>
      </c>
      <c r="C30" s="250"/>
      <c r="D30" s="250"/>
      <c r="E30" s="250"/>
      <c r="F30" s="231" t="s">
        <v>150</v>
      </c>
      <c r="G30" s="19">
        <v>1</v>
      </c>
      <c r="H30" s="6">
        <v>40</v>
      </c>
      <c r="I30" s="8">
        <v>110</v>
      </c>
      <c r="J30" s="10" t="s">
        <v>62</v>
      </c>
      <c r="K30" s="12">
        <v>86.67</v>
      </c>
      <c r="L30" s="6" t="s">
        <v>39</v>
      </c>
      <c r="M30" s="12">
        <v>112.21165999999999</v>
      </c>
      <c r="N30" s="13">
        <v>1</v>
      </c>
      <c r="O30" s="12">
        <v>12343</v>
      </c>
      <c r="P30" s="6">
        <v>2057</v>
      </c>
      <c r="Q30" s="14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21">
        <v>0</v>
      </c>
      <c r="AM30" s="17">
        <v>309</v>
      </c>
      <c r="AN30" s="24">
        <v>0</v>
      </c>
      <c r="AO30" s="252" t="s">
        <v>84</v>
      </c>
      <c r="AP30" s="250"/>
      <c r="AQ30" s="2"/>
      <c r="AR30" s="2"/>
      <c r="AS30" s="2"/>
    </row>
    <row r="31" spans="1:45" x14ac:dyDescent="0.25">
      <c r="A31" s="43" t="s">
        <v>150</v>
      </c>
      <c r="B31" s="258" t="s">
        <v>85</v>
      </c>
      <c r="C31" s="259"/>
      <c r="D31" s="259"/>
      <c r="E31" s="259"/>
      <c r="F31" s="231" t="s">
        <v>150</v>
      </c>
      <c r="G31" s="19">
        <v>1</v>
      </c>
      <c r="H31" s="26">
        <v>20</v>
      </c>
      <c r="I31" s="27">
        <v>1</v>
      </c>
      <c r="J31" s="28" t="s">
        <v>47</v>
      </c>
      <c r="K31" s="29">
        <v>900</v>
      </c>
      <c r="L31" s="26" t="s">
        <v>39</v>
      </c>
      <c r="M31" s="29">
        <v>1165.23</v>
      </c>
      <c r="N31" s="30">
        <v>1</v>
      </c>
      <c r="O31" s="29">
        <v>1165</v>
      </c>
      <c r="P31" s="26">
        <v>2037</v>
      </c>
      <c r="Q31" s="31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>
        <v>1165</v>
      </c>
      <c r="AH31" s="23"/>
      <c r="AI31" s="23"/>
      <c r="AJ31" s="23"/>
      <c r="AK31" s="23"/>
      <c r="AL31" s="22">
        <v>58</v>
      </c>
      <c r="AM31" s="23">
        <v>58</v>
      </c>
      <c r="AN31" s="25">
        <v>1165</v>
      </c>
      <c r="AO31" s="258" t="s">
        <v>86</v>
      </c>
      <c r="AP31" s="250"/>
      <c r="AQ31" s="2"/>
      <c r="AR31" s="2"/>
      <c r="AS31" s="2"/>
    </row>
    <row r="32" spans="1:45" ht="17.25" x14ac:dyDescent="0.25">
      <c r="A32" s="38"/>
      <c r="B32" s="249" t="s">
        <v>42</v>
      </c>
      <c r="C32" s="250"/>
      <c r="D32" s="250"/>
      <c r="E32" s="249"/>
      <c r="F32" s="230"/>
      <c r="G32" s="7"/>
      <c r="H32" s="7"/>
      <c r="I32" s="7"/>
      <c r="J32" s="7"/>
      <c r="K32" s="7"/>
      <c r="L32" s="7"/>
      <c r="M32" s="7"/>
      <c r="N32" s="7"/>
      <c r="O32" s="7"/>
      <c r="P32" s="7"/>
      <c r="Q32" s="15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33"/>
      <c r="AM32" s="16"/>
      <c r="AN32" s="36"/>
      <c r="AO32" s="251"/>
      <c r="AP32" s="251"/>
      <c r="AQ32" s="2"/>
      <c r="AR32" s="2"/>
      <c r="AS32" s="2"/>
    </row>
    <row r="33" spans="1:45" x14ac:dyDescent="0.25">
      <c r="A33" s="40" t="s">
        <v>157</v>
      </c>
      <c r="B33" s="252" t="s">
        <v>87</v>
      </c>
      <c r="C33" s="250"/>
      <c r="D33" s="250"/>
      <c r="E33" s="250"/>
      <c r="F33" s="232" t="s">
        <v>156</v>
      </c>
      <c r="G33" s="19">
        <v>1</v>
      </c>
      <c r="H33" s="6">
        <v>5</v>
      </c>
      <c r="I33" s="8">
        <v>1</v>
      </c>
      <c r="J33" s="10" t="s">
        <v>38</v>
      </c>
      <c r="K33" s="12">
        <v>1500</v>
      </c>
      <c r="L33" s="6" t="s">
        <v>88</v>
      </c>
      <c r="M33" s="12">
        <v>1749.45</v>
      </c>
      <c r="N33" s="13">
        <v>1</v>
      </c>
      <c r="O33" s="12">
        <v>1749</v>
      </c>
      <c r="P33" s="6">
        <v>2027</v>
      </c>
      <c r="Q33" s="14"/>
      <c r="R33" s="17"/>
      <c r="S33" s="17"/>
      <c r="T33" s="17"/>
      <c r="U33" s="17"/>
      <c r="V33" s="17"/>
      <c r="W33" s="17">
        <v>1749</v>
      </c>
      <c r="X33" s="17"/>
      <c r="Y33" s="17"/>
      <c r="Z33" s="17"/>
      <c r="AA33" s="17"/>
      <c r="AB33" s="17">
        <v>1749</v>
      </c>
      <c r="AC33" s="17"/>
      <c r="AD33" s="17"/>
      <c r="AE33" s="17"/>
      <c r="AF33" s="17"/>
      <c r="AG33" s="17">
        <v>1749</v>
      </c>
      <c r="AH33" s="17"/>
      <c r="AI33" s="17"/>
      <c r="AJ33" s="17"/>
      <c r="AK33" s="17"/>
      <c r="AL33" s="21">
        <v>262</v>
      </c>
      <c r="AM33" s="17">
        <v>350</v>
      </c>
      <c r="AN33" s="24">
        <v>5247</v>
      </c>
      <c r="AO33" s="252" t="s">
        <v>89</v>
      </c>
      <c r="AP33" s="250"/>
      <c r="AQ33" s="2"/>
      <c r="AR33" s="2"/>
      <c r="AS33" s="2"/>
    </row>
    <row r="34" spans="1:45" ht="30" customHeight="1" x14ac:dyDescent="0.25">
      <c r="A34" s="40" t="s">
        <v>157</v>
      </c>
      <c r="B34" s="252" t="s">
        <v>90</v>
      </c>
      <c r="C34" s="250"/>
      <c r="D34" s="250"/>
      <c r="E34" s="250"/>
      <c r="F34" s="232" t="s">
        <v>156</v>
      </c>
      <c r="G34" s="20">
        <v>2</v>
      </c>
      <c r="H34" s="6">
        <v>20</v>
      </c>
      <c r="I34" s="8">
        <v>254</v>
      </c>
      <c r="J34" s="10" t="s">
        <v>62</v>
      </c>
      <c r="K34" s="12">
        <v>16.649999999999999</v>
      </c>
      <c r="L34" s="6" t="s">
        <v>88</v>
      </c>
      <c r="M34" s="12">
        <v>19.418907874016</v>
      </c>
      <c r="N34" s="13">
        <v>0.25</v>
      </c>
      <c r="O34" s="12">
        <v>1233</v>
      </c>
      <c r="P34" s="6">
        <v>2027</v>
      </c>
      <c r="Q34" s="14"/>
      <c r="R34" s="17"/>
      <c r="S34" s="17"/>
      <c r="T34" s="17"/>
      <c r="U34" s="17"/>
      <c r="V34" s="17"/>
      <c r="W34" s="17">
        <v>1233</v>
      </c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21">
        <v>62</v>
      </c>
      <c r="AM34" s="17">
        <v>62</v>
      </c>
      <c r="AN34" s="24">
        <v>1233</v>
      </c>
      <c r="AO34" s="252" t="s">
        <v>91</v>
      </c>
      <c r="AP34" s="250"/>
      <c r="AQ34" s="2"/>
      <c r="AR34" s="2"/>
      <c r="AS34" s="2"/>
    </row>
    <row r="35" spans="1:45" x14ac:dyDescent="0.25">
      <c r="A35" s="40" t="s">
        <v>157</v>
      </c>
      <c r="B35" s="258" t="s">
        <v>90</v>
      </c>
      <c r="C35" s="259"/>
      <c r="D35" s="259"/>
      <c r="E35" s="259"/>
      <c r="F35" s="232" t="s">
        <v>156</v>
      </c>
      <c r="G35" s="1">
        <v>0</v>
      </c>
      <c r="H35" s="26">
        <v>20</v>
      </c>
      <c r="I35" s="27">
        <v>254</v>
      </c>
      <c r="J35" s="28" t="s">
        <v>62</v>
      </c>
      <c r="K35" s="29">
        <v>16.649999999999999</v>
      </c>
      <c r="L35" s="26" t="s">
        <v>88</v>
      </c>
      <c r="M35" s="29">
        <v>19.418907874016</v>
      </c>
      <c r="N35" s="30">
        <v>1</v>
      </c>
      <c r="O35" s="29">
        <v>4932</v>
      </c>
      <c r="P35" s="26">
        <v>2037</v>
      </c>
      <c r="Q35" s="31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>
        <v>4932</v>
      </c>
      <c r="AH35" s="23"/>
      <c r="AI35" s="23"/>
      <c r="AJ35" s="23"/>
      <c r="AK35" s="23"/>
      <c r="AL35" s="22">
        <v>247</v>
      </c>
      <c r="AM35" s="23">
        <v>247</v>
      </c>
      <c r="AN35" s="25">
        <v>4932</v>
      </c>
      <c r="AO35" s="258" t="s">
        <v>92</v>
      </c>
      <c r="AP35" s="250"/>
      <c r="AQ35" s="2"/>
      <c r="AR35" s="2"/>
      <c r="AS35" s="2"/>
    </row>
    <row r="36" spans="1:45" x14ac:dyDescent="0.25">
      <c r="A36" s="40" t="s">
        <v>157</v>
      </c>
      <c r="B36" s="252" t="s">
        <v>93</v>
      </c>
      <c r="C36" s="250"/>
      <c r="D36" s="250"/>
      <c r="E36" s="250"/>
      <c r="F36" s="232" t="s">
        <v>156</v>
      </c>
      <c r="G36" s="19">
        <v>1</v>
      </c>
      <c r="H36" s="6">
        <v>20</v>
      </c>
      <c r="I36" s="8">
        <v>350</v>
      </c>
      <c r="J36" s="10" t="s">
        <v>94</v>
      </c>
      <c r="K36" s="12">
        <v>42.58</v>
      </c>
      <c r="L36" s="6" t="s">
        <v>39</v>
      </c>
      <c r="M36" s="12">
        <v>55.128326000000001</v>
      </c>
      <c r="N36" s="13">
        <v>1</v>
      </c>
      <c r="O36" s="12">
        <v>19295</v>
      </c>
      <c r="P36" s="6">
        <v>2037</v>
      </c>
      <c r="Q36" s="14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>
        <v>19295</v>
      </c>
      <c r="AH36" s="17"/>
      <c r="AI36" s="17"/>
      <c r="AJ36" s="17"/>
      <c r="AK36" s="17"/>
      <c r="AL36" s="21">
        <v>965</v>
      </c>
      <c r="AM36" s="17">
        <v>965</v>
      </c>
      <c r="AN36" s="24">
        <v>19295</v>
      </c>
      <c r="AO36" s="252" t="s">
        <v>95</v>
      </c>
      <c r="AP36" s="250"/>
      <c r="AQ36" s="2"/>
      <c r="AR36" s="2"/>
      <c r="AS36" s="2"/>
    </row>
    <row r="37" spans="1:45" x14ac:dyDescent="0.25">
      <c r="A37" s="40" t="s">
        <v>157</v>
      </c>
      <c r="B37" s="258" t="s">
        <v>96</v>
      </c>
      <c r="C37" s="259"/>
      <c r="D37" s="259"/>
      <c r="E37" s="259"/>
      <c r="F37" s="232" t="s">
        <v>156</v>
      </c>
      <c r="G37" s="19">
        <v>1</v>
      </c>
      <c r="H37" s="26">
        <v>10</v>
      </c>
      <c r="I37" s="27">
        <v>5</v>
      </c>
      <c r="J37" s="28" t="s">
        <v>62</v>
      </c>
      <c r="K37" s="29">
        <v>85.16</v>
      </c>
      <c r="L37" s="26" t="s">
        <v>39</v>
      </c>
      <c r="M37" s="29">
        <v>110.25762</v>
      </c>
      <c r="N37" s="30">
        <v>1</v>
      </c>
      <c r="O37" s="29">
        <v>551</v>
      </c>
      <c r="P37" s="26">
        <v>2027</v>
      </c>
      <c r="Q37" s="31"/>
      <c r="R37" s="23"/>
      <c r="S37" s="23"/>
      <c r="T37" s="23"/>
      <c r="U37" s="23"/>
      <c r="V37" s="23"/>
      <c r="W37" s="23">
        <v>551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>
        <v>551</v>
      </c>
      <c r="AH37" s="23"/>
      <c r="AI37" s="23"/>
      <c r="AJ37" s="23"/>
      <c r="AK37" s="23"/>
      <c r="AL37" s="22">
        <v>55</v>
      </c>
      <c r="AM37" s="23">
        <v>55</v>
      </c>
      <c r="AN37" s="25">
        <v>1102</v>
      </c>
      <c r="AO37" s="258" t="s">
        <v>97</v>
      </c>
      <c r="AP37" s="250"/>
      <c r="AQ37" s="2"/>
      <c r="AR37" s="2"/>
      <c r="AS37" s="2"/>
    </row>
    <row r="38" spans="1:45" x14ac:dyDescent="0.25">
      <c r="A38" s="40" t="s">
        <v>157</v>
      </c>
      <c r="B38" s="252" t="s">
        <v>98</v>
      </c>
      <c r="C38" s="250"/>
      <c r="D38" s="250"/>
      <c r="E38" s="250"/>
      <c r="F38" s="232" t="s">
        <v>156</v>
      </c>
      <c r="G38" s="19">
        <v>1</v>
      </c>
      <c r="H38" s="6">
        <v>10</v>
      </c>
      <c r="I38" s="8">
        <v>815</v>
      </c>
      <c r="J38" s="10" t="s">
        <v>94</v>
      </c>
      <c r="K38" s="12">
        <v>7.86</v>
      </c>
      <c r="L38" s="6" t="s">
        <v>88</v>
      </c>
      <c r="M38" s="12">
        <v>9.1671139877301009</v>
      </c>
      <c r="N38" s="13">
        <v>1</v>
      </c>
      <c r="O38" s="12">
        <v>7471</v>
      </c>
      <c r="P38" s="6">
        <v>2027</v>
      </c>
      <c r="Q38" s="14"/>
      <c r="R38" s="17"/>
      <c r="S38" s="17"/>
      <c r="T38" s="17"/>
      <c r="U38" s="17"/>
      <c r="V38" s="17"/>
      <c r="W38" s="17">
        <v>7471</v>
      </c>
      <c r="X38" s="17"/>
      <c r="Y38" s="17"/>
      <c r="Z38" s="17"/>
      <c r="AA38" s="17"/>
      <c r="AB38" s="17"/>
      <c r="AC38" s="17"/>
      <c r="AD38" s="17"/>
      <c r="AE38" s="17"/>
      <c r="AF38" s="17"/>
      <c r="AG38" s="17">
        <v>7471</v>
      </c>
      <c r="AH38" s="17"/>
      <c r="AI38" s="17"/>
      <c r="AJ38" s="17"/>
      <c r="AK38" s="17"/>
      <c r="AL38" s="21">
        <v>747</v>
      </c>
      <c r="AM38" s="17">
        <v>747</v>
      </c>
      <c r="AN38" s="24">
        <v>14942</v>
      </c>
      <c r="AO38" s="252" t="s">
        <v>99</v>
      </c>
      <c r="AP38" s="250"/>
      <c r="AQ38" s="2"/>
      <c r="AR38" s="2"/>
      <c r="AS38" s="2"/>
    </row>
    <row r="39" spans="1:45" x14ac:dyDescent="0.25">
      <c r="A39" s="40" t="s">
        <v>157</v>
      </c>
      <c r="B39" s="258" t="s">
        <v>100</v>
      </c>
      <c r="C39" s="259"/>
      <c r="D39" s="259"/>
      <c r="E39" s="259"/>
      <c r="F39" s="232" t="s">
        <v>156</v>
      </c>
      <c r="G39" s="19">
        <v>1</v>
      </c>
      <c r="H39" s="26">
        <v>20</v>
      </c>
      <c r="I39" s="27">
        <v>147</v>
      </c>
      <c r="J39" s="28" t="s">
        <v>62</v>
      </c>
      <c r="K39" s="29">
        <v>19.989999999999998</v>
      </c>
      <c r="L39" s="26" t="s">
        <v>88</v>
      </c>
      <c r="M39" s="29">
        <v>23.314358503400999</v>
      </c>
      <c r="N39" s="30">
        <v>1</v>
      </c>
      <c r="O39" s="29">
        <v>3427</v>
      </c>
      <c r="P39" s="26">
        <v>2037</v>
      </c>
      <c r="Q39" s="31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>
        <v>3427</v>
      </c>
      <c r="AH39" s="23"/>
      <c r="AI39" s="23"/>
      <c r="AJ39" s="23"/>
      <c r="AK39" s="23"/>
      <c r="AL39" s="22">
        <v>171</v>
      </c>
      <c r="AM39" s="23">
        <v>171</v>
      </c>
      <c r="AN39" s="25">
        <v>3427</v>
      </c>
      <c r="AO39" s="258" t="s">
        <v>101</v>
      </c>
      <c r="AP39" s="250"/>
      <c r="AQ39" s="2"/>
      <c r="AR39" s="2"/>
      <c r="AS39" s="2"/>
    </row>
    <row r="40" spans="1:45" x14ac:dyDescent="0.25">
      <c r="A40" s="40" t="s">
        <v>157</v>
      </c>
      <c r="B40" s="252" t="s">
        <v>102</v>
      </c>
      <c r="C40" s="250"/>
      <c r="D40" s="250"/>
      <c r="E40" s="250"/>
      <c r="F40" s="211" t="s">
        <v>157</v>
      </c>
      <c r="G40" s="19">
        <v>1</v>
      </c>
      <c r="H40" s="6">
        <v>30</v>
      </c>
      <c r="I40" s="8">
        <v>1</v>
      </c>
      <c r="J40" s="10" t="s">
        <v>38</v>
      </c>
      <c r="K40" s="12">
        <v>6300</v>
      </c>
      <c r="L40" s="6" t="s">
        <v>39</v>
      </c>
      <c r="M40" s="12">
        <v>8156.61</v>
      </c>
      <c r="N40" s="13">
        <v>1</v>
      </c>
      <c r="O40" s="12">
        <v>8157</v>
      </c>
      <c r="P40" s="6">
        <v>2047</v>
      </c>
      <c r="Q40" s="14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21">
        <v>0</v>
      </c>
      <c r="AM40" s="17">
        <v>272</v>
      </c>
      <c r="AN40" s="24">
        <v>0</v>
      </c>
      <c r="AO40" s="252" t="s">
        <v>103</v>
      </c>
      <c r="AP40" s="250"/>
      <c r="AQ40" s="2"/>
      <c r="AR40" s="2"/>
      <c r="AS40" s="2"/>
    </row>
    <row r="41" spans="1:45" ht="17.25" x14ac:dyDescent="0.25">
      <c r="A41" s="38"/>
      <c r="B41" s="249" t="s">
        <v>43</v>
      </c>
      <c r="C41" s="259"/>
      <c r="D41" s="259"/>
      <c r="E41" s="249"/>
      <c r="F41" s="230"/>
      <c r="G41" s="7"/>
      <c r="H41" s="7"/>
      <c r="I41" s="7"/>
      <c r="J41" s="7"/>
      <c r="K41" s="7"/>
      <c r="L41" s="7"/>
      <c r="M41" s="7"/>
      <c r="N41" s="7"/>
      <c r="O41" s="7"/>
      <c r="P41" s="7"/>
      <c r="Q41" s="15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33"/>
      <c r="AM41" s="16"/>
      <c r="AN41" s="36"/>
      <c r="AO41" s="251"/>
      <c r="AP41" s="251"/>
      <c r="AQ41" s="2"/>
      <c r="AR41" s="2"/>
      <c r="AS41" s="2"/>
    </row>
    <row r="42" spans="1:45" x14ac:dyDescent="0.25">
      <c r="A42" s="40" t="s">
        <v>157</v>
      </c>
      <c r="B42" s="252" t="s">
        <v>104</v>
      </c>
      <c r="C42" s="250"/>
      <c r="D42" s="250"/>
      <c r="E42" s="250"/>
      <c r="F42" s="231" t="s">
        <v>150</v>
      </c>
      <c r="G42" s="19">
        <v>1</v>
      </c>
      <c r="H42" s="6">
        <v>25</v>
      </c>
      <c r="I42" s="8">
        <v>18</v>
      </c>
      <c r="J42" s="10" t="s">
        <v>47</v>
      </c>
      <c r="K42" s="12">
        <v>149.88</v>
      </c>
      <c r="L42" s="6" t="s">
        <v>39</v>
      </c>
      <c r="M42" s="12">
        <v>194.04971666667001</v>
      </c>
      <c r="N42" s="13">
        <v>1</v>
      </c>
      <c r="O42" s="12">
        <v>3493</v>
      </c>
      <c r="P42" s="6">
        <v>2042</v>
      </c>
      <c r="Q42" s="14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21">
        <v>0</v>
      </c>
      <c r="AM42" s="17">
        <v>140</v>
      </c>
      <c r="AN42" s="24">
        <v>0</v>
      </c>
      <c r="AO42" s="252" t="s">
        <v>105</v>
      </c>
      <c r="AP42" s="250"/>
      <c r="AQ42" s="2"/>
      <c r="AR42" s="2"/>
      <c r="AS42" s="2"/>
    </row>
    <row r="43" spans="1:45" x14ac:dyDescent="0.25">
      <c r="A43" s="42" t="s">
        <v>149</v>
      </c>
      <c r="B43" s="260" t="s">
        <v>232</v>
      </c>
      <c r="C43" s="250"/>
      <c r="D43" s="250"/>
      <c r="E43" s="250"/>
      <c r="F43" s="233" t="s">
        <v>149</v>
      </c>
      <c r="G43" s="1">
        <v>0</v>
      </c>
      <c r="H43" s="6">
        <v>20</v>
      </c>
      <c r="I43" s="8">
        <v>2</v>
      </c>
      <c r="J43" s="10" t="s">
        <v>47</v>
      </c>
      <c r="K43" s="12">
        <v>7000</v>
      </c>
      <c r="L43" s="6" t="s">
        <v>39</v>
      </c>
      <c r="M43" s="12">
        <v>9062.9</v>
      </c>
      <c r="N43" s="13">
        <v>1</v>
      </c>
      <c r="O43" s="12">
        <v>18126</v>
      </c>
      <c r="P43" s="6">
        <v>2037</v>
      </c>
      <c r="Q43" s="14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>
        <v>18126</v>
      </c>
      <c r="AH43" s="17"/>
      <c r="AI43" s="17"/>
      <c r="AJ43" s="17"/>
      <c r="AK43" s="17"/>
      <c r="AL43" s="21">
        <v>906</v>
      </c>
      <c r="AM43" s="17">
        <v>906</v>
      </c>
      <c r="AN43" s="24">
        <v>18126</v>
      </c>
      <c r="AO43" s="252" t="s">
        <v>106</v>
      </c>
      <c r="AP43" s="250"/>
      <c r="AQ43" s="2"/>
      <c r="AR43" s="2"/>
      <c r="AS43" s="2"/>
    </row>
    <row r="44" spans="1:45" x14ac:dyDescent="0.25">
      <c r="A44" s="43" t="s">
        <v>150</v>
      </c>
      <c r="B44" s="258" t="s">
        <v>107</v>
      </c>
      <c r="C44" s="259"/>
      <c r="D44" s="259"/>
      <c r="E44" s="259"/>
      <c r="F44" s="231" t="s">
        <v>150</v>
      </c>
      <c r="G44" s="1">
        <v>0</v>
      </c>
      <c r="H44" s="26">
        <v>7</v>
      </c>
      <c r="I44" s="27">
        <v>1</v>
      </c>
      <c r="J44" s="28" t="s">
        <v>38</v>
      </c>
      <c r="K44" s="29">
        <v>2500</v>
      </c>
      <c r="L44" s="26" t="s">
        <v>39</v>
      </c>
      <c r="M44" s="29">
        <v>3236.75</v>
      </c>
      <c r="N44" s="30">
        <v>1</v>
      </c>
      <c r="O44" s="29">
        <v>3237</v>
      </c>
      <c r="P44" s="26">
        <v>2024</v>
      </c>
      <c r="Q44" s="31"/>
      <c r="R44" s="23"/>
      <c r="S44" s="23"/>
      <c r="T44" s="23">
        <v>3237</v>
      </c>
      <c r="U44" s="23"/>
      <c r="V44" s="23"/>
      <c r="W44" s="23"/>
      <c r="X44" s="23"/>
      <c r="Y44" s="23"/>
      <c r="Z44" s="23"/>
      <c r="AA44" s="23">
        <v>3237</v>
      </c>
      <c r="AB44" s="23"/>
      <c r="AC44" s="23"/>
      <c r="AD44" s="23"/>
      <c r="AE44" s="23"/>
      <c r="AF44" s="23"/>
      <c r="AG44" s="23"/>
      <c r="AH44" s="23">
        <v>3237</v>
      </c>
      <c r="AI44" s="23"/>
      <c r="AJ44" s="23"/>
      <c r="AK44" s="23"/>
      <c r="AL44" s="22">
        <v>486</v>
      </c>
      <c r="AM44" s="23">
        <v>462</v>
      </c>
      <c r="AN44" s="25">
        <v>9711</v>
      </c>
      <c r="AO44" s="258" t="s">
        <v>108</v>
      </c>
      <c r="AP44" s="250"/>
      <c r="AQ44" s="2"/>
      <c r="AR44" s="2"/>
      <c r="AS44" s="2"/>
    </row>
    <row r="45" spans="1:45" x14ac:dyDescent="0.25">
      <c r="A45" s="42" t="s">
        <v>149</v>
      </c>
      <c r="B45" s="252" t="s">
        <v>109</v>
      </c>
      <c r="C45" s="250"/>
      <c r="D45" s="250"/>
      <c r="E45" s="250"/>
      <c r="F45" s="233" t="s">
        <v>149</v>
      </c>
      <c r="G45" s="19">
        <v>1</v>
      </c>
      <c r="H45" s="6">
        <v>15</v>
      </c>
      <c r="I45" s="8">
        <v>1</v>
      </c>
      <c r="J45" s="10" t="s">
        <v>47</v>
      </c>
      <c r="K45" s="12">
        <v>1045.01</v>
      </c>
      <c r="L45" s="6" t="s">
        <v>39</v>
      </c>
      <c r="M45" s="12">
        <v>1352.9736</v>
      </c>
      <c r="N45" s="13">
        <v>1</v>
      </c>
      <c r="O45" s="12">
        <v>1353</v>
      </c>
      <c r="P45" s="6">
        <v>2031</v>
      </c>
      <c r="Q45" s="14"/>
      <c r="R45" s="17"/>
      <c r="S45" s="17"/>
      <c r="T45" s="17"/>
      <c r="U45" s="17"/>
      <c r="V45" s="17"/>
      <c r="W45" s="17"/>
      <c r="X45" s="17"/>
      <c r="Y45" s="17"/>
      <c r="Z45" s="17"/>
      <c r="AA45" s="17">
        <v>1353</v>
      </c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21">
        <v>68</v>
      </c>
      <c r="AM45" s="17">
        <v>90</v>
      </c>
      <c r="AN45" s="24">
        <v>1353</v>
      </c>
      <c r="AO45" s="252" t="s">
        <v>110</v>
      </c>
      <c r="AP45" s="250"/>
      <c r="AQ45" s="2"/>
      <c r="AR45" s="2"/>
      <c r="AS45" s="2"/>
    </row>
    <row r="46" spans="1:45" x14ac:dyDescent="0.25">
      <c r="A46" s="43" t="s">
        <v>150</v>
      </c>
      <c r="B46" s="258" t="s">
        <v>111</v>
      </c>
      <c r="C46" s="259"/>
      <c r="D46" s="259"/>
      <c r="E46" s="259"/>
      <c r="F46" s="231" t="s">
        <v>150</v>
      </c>
      <c r="G46" s="19">
        <v>1</v>
      </c>
      <c r="H46" s="26">
        <v>18</v>
      </c>
      <c r="I46" s="27">
        <v>1</v>
      </c>
      <c r="J46" s="28" t="s">
        <v>47</v>
      </c>
      <c r="K46" s="29">
        <v>6411.93</v>
      </c>
      <c r="L46" s="26" t="s">
        <v>39</v>
      </c>
      <c r="M46" s="29">
        <v>8301.5316999999995</v>
      </c>
      <c r="N46" s="30">
        <v>1</v>
      </c>
      <c r="O46" s="29">
        <v>8302</v>
      </c>
      <c r="P46" s="26">
        <v>2034</v>
      </c>
      <c r="Q46" s="31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>
        <v>8302</v>
      </c>
      <c r="AE46" s="23"/>
      <c r="AF46" s="23"/>
      <c r="AG46" s="23"/>
      <c r="AH46" s="23"/>
      <c r="AI46" s="23"/>
      <c r="AJ46" s="23"/>
      <c r="AK46" s="23"/>
      <c r="AL46" s="22">
        <v>415</v>
      </c>
      <c r="AM46" s="23">
        <v>461</v>
      </c>
      <c r="AN46" s="25">
        <v>8302</v>
      </c>
      <c r="AO46" s="258" t="s">
        <v>112</v>
      </c>
      <c r="AP46" s="250"/>
      <c r="AQ46" s="2"/>
      <c r="AR46" s="2"/>
      <c r="AS46" s="2"/>
    </row>
    <row r="47" spans="1:45" x14ac:dyDescent="0.25">
      <c r="A47" s="40" t="s">
        <v>157</v>
      </c>
      <c r="B47" s="252" t="s">
        <v>113</v>
      </c>
      <c r="C47" s="250"/>
      <c r="D47" s="250"/>
      <c r="E47" s="250"/>
      <c r="F47" s="231" t="s">
        <v>150</v>
      </c>
      <c r="G47" s="19">
        <v>1</v>
      </c>
      <c r="H47" s="6">
        <v>15</v>
      </c>
      <c r="I47" s="8">
        <v>1</v>
      </c>
      <c r="J47" s="10" t="s">
        <v>47</v>
      </c>
      <c r="K47" s="12">
        <v>565.15</v>
      </c>
      <c r="L47" s="6" t="s">
        <v>39</v>
      </c>
      <c r="M47" s="12">
        <v>731.69910000000004</v>
      </c>
      <c r="N47" s="13">
        <v>1</v>
      </c>
      <c r="O47" s="12">
        <v>732</v>
      </c>
      <c r="P47" s="6">
        <v>2031</v>
      </c>
      <c r="Q47" s="14"/>
      <c r="R47" s="17"/>
      <c r="S47" s="17"/>
      <c r="T47" s="17"/>
      <c r="U47" s="17"/>
      <c r="V47" s="17"/>
      <c r="W47" s="17"/>
      <c r="X47" s="17"/>
      <c r="Y47" s="17"/>
      <c r="Z47" s="17"/>
      <c r="AA47" s="17">
        <v>732</v>
      </c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21">
        <v>37</v>
      </c>
      <c r="AM47" s="17">
        <v>49</v>
      </c>
      <c r="AN47" s="24">
        <v>732</v>
      </c>
      <c r="AO47" s="252" t="s">
        <v>114</v>
      </c>
      <c r="AP47" s="250"/>
      <c r="AQ47" s="2"/>
      <c r="AR47" s="2"/>
      <c r="AS47" s="2"/>
    </row>
    <row r="48" spans="1:45" x14ac:dyDescent="0.25">
      <c r="A48" s="60" t="s">
        <v>158</v>
      </c>
      <c r="B48" s="258" t="s">
        <v>115</v>
      </c>
      <c r="C48" s="259"/>
      <c r="D48" s="259"/>
      <c r="E48" s="259"/>
      <c r="F48" s="234" t="s">
        <v>158</v>
      </c>
      <c r="G48" s="19">
        <v>1</v>
      </c>
      <c r="H48" s="26">
        <v>20</v>
      </c>
      <c r="I48" s="27">
        <v>1</v>
      </c>
      <c r="J48" s="28" t="s">
        <v>38</v>
      </c>
      <c r="K48" s="29">
        <v>25000</v>
      </c>
      <c r="L48" s="26" t="s">
        <v>39</v>
      </c>
      <c r="M48" s="29">
        <v>32367.5</v>
      </c>
      <c r="N48" s="30">
        <v>1</v>
      </c>
      <c r="O48" s="29">
        <v>32368</v>
      </c>
      <c r="P48" s="26">
        <v>2037</v>
      </c>
      <c r="Q48" s="31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>
        <v>32368</v>
      </c>
      <c r="AH48" s="23"/>
      <c r="AI48" s="23"/>
      <c r="AJ48" s="23"/>
      <c r="AK48" s="23"/>
      <c r="AL48" s="22">
        <v>1618</v>
      </c>
      <c r="AM48" s="23">
        <v>1618</v>
      </c>
      <c r="AN48" s="25">
        <v>32368</v>
      </c>
      <c r="AO48" s="258" t="s">
        <v>116</v>
      </c>
      <c r="AP48" s="250"/>
      <c r="AQ48" s="2"/>
      <c r="AR48" s="2"/>
      <c r="AS48" s="2"/>
    </row>
    <row r="49" spans="1:45" x14ac:dyDescent="0.25">
      <c r="A49" s="42" t="s">
        <v>149</v>
      </c>
      <c r="B49" s="252" t="s">
        <v>44</v>
      </c>
      <c r="C49" s="250"/>
      <c r="D49" s="250"/>
      <c r="E49" s="250"/>
      <c r="F49" s="233" t="s">
        <v>149</v>
      </c>
      <c r="G49" s="1">
        <v>0</v>
      </c>
      <c r="H49" s="6">
        <v>3</v>
      </c>
      <c r="I49" s="8">
        <v>1</v>
      </c>
      <c r="J49" s="10" t="s">
        <v>38</v>
      </c>
      <c r="K49" s="12">
        <v>150</v>
      </c>
      <c r="L49" s="6" t="s">
        <v>39</v>
      </c>
      <c r="M49" s="12">
        <v>194.20500000000001</v>
      </c>
      <c r="N49" s="13">
        <v>1</v>
      </c>
      <c r="O49" s="12">
        <v>194</v>
      </c>
      <c r="P49" s="6">
        <v>2023</v>
      </c>
      <c r="Q49" s="14"/>
      <c r="R49" s="17"/>
      <c r="S49" s="17">
        <v>194</v>
      </c>
      <c r="T49" s="17"/>
      <c r="U49" s="17"/>
      <c r="V49" s="17">
        <v>194</v>
      </c>
      <c r="W49" s="17"/>
      <c r="X49" s="17"/>
      <c r="Y49" s="17">
        <v>194</v>
      </c>
      <c r="Z49" s="17"/>
      <c r="AA49" s="17"/>
      <c r="AB49" s="17">
        <v>194</v>
      </c>
      <c r="AC49" s="17"/>
      <c r="AD49" s="17"/>
      <c r="AE49" s="17">
        <v>194</v>
      </c>
      <c r="AF49" s="17"/>
      <c r="AG49" s="17"/>
      <c r="AH49" s="17">
        <v>194</v>
      </c>
      <c r="AI49" s="17"/>
      <c r="AJ49" s="17"/>
      <c r="AK49" s="17">
        <v>194</v>
      </c>
      <c r="AL49" s="21">
        <v>68</v>
      </c>
      <c r="AM49" s="17">
        <v>65</v>
      </c>
      <c r="AN49" s="24">
        <v>1358</v>
      </c>
      <c r="AO49" s="252" t="s">
        <v>117</v>
      </c>
      <c r="AP49" s="250"/>
      <c r="AQ49" s="2"/>
      <c r="AR49" s="2"/>
      <c r="AS49" s="2"/>
    </row>
    <row r="50" spans="1:45" ht="30" customHeight="1" x14ac:dyDescent="0.25">
      <c r="A50" s="42" t="s">
        <v>149</v>
      </c>
      <c r="B50" s="258" t="s">
        <v>44</v>
      </c>
      <c r="C50" s="259"/>
      <c r="D50" s="259"/>
      <c r="E50" s="259"/>
      <c r="F50" s="233" t="s">
        <v>149</v>
      </c>
      <c r="G50" s="1">
        <v>0</v>
      </c>
      <c r="H50" s="26">
        <v>5</v>
      </c>
      <c r="I50" s="27">
        <v>1</v>
      </c>
      <c r="J50" s="28" t="s">
        <v>38</v>
      </c>
      <c r="K50" s="29">
        <v>3850</v>
      </c>
      <c r="L50" s="26" t="s">
        <v>39</v>
      </c>
      <c r="M50" s="29">
        <v>4984.5950000000003</v>
      </c>
      <c r="N50" s="30">
        <v>1</v>
      </c>
      <c r="O50" s="29">
        <v>4985</v>
      </c>
      <c r="P50" s="26">
        <v>2022</v>
      </c>
      <c r="Q50" s="31"/>
      <c r="R50" s="23">
        <v>4985</v>
      </c>
      <c r="S50" s="23"/>
      <c r="T50" s="23"/>
      <c r="U50" s="23"/>
      <c r="V50" s="23"/>
      <c r="W50" s="23">
        <v>4985</v>
      </c>
      <c r="X50" s="23"/>
      <c r="Y50" s="23"/>
      <c r="Z50" s="23"/>
      <c r="AA50" s="23"/>
      <c r="AB50" s="23">
        <v>4985</v>
      </c>
      <c r="AC50" s="23"/>
      <c r="AD50" s="23"/>
      <c r="AE50" s="23"/>
      <c r="AF50" s="23"/>
      <c r="AG50" s="23">
        <v>4985</v>
      </c>
      <c r="AH50" s="23"/>
      <c r="AI50" s="23"/>
      <c r="AJ50" s="23"/>
      <c r="AK50" s="23"/>
      <c r="AL50" s="22">
        <v>997</v>
      </c>
      <c r="AM50" s="23">
        <v>997</v>
      </c>
      <c r="AN50" s="25">
        <v>19940</v>
      </c>
      <c r="AO50" s="258" t="s">
        <v>45</v>
      </c>
      <c r="AP50" s="250"/>
      <c r="AQ50" s="2"/>
      <c r="AR50" s="2"/>
      <c r="AS50" s="2"/>
    </row>
    <row r="51" spans="1:45" x14ac:dyDescent="0.25">
      <c r="A51" s="42" t="s">
        <v>149</v>
      </c>
      <c r="B51" s="252" t="s">
        <v>44</v>
      </c>
      <c r="C51" s="250"/>
      <c r="D51" s="250"/>
      <c r="E51" s="250"/>
      <c r="F51" s="233" t="s">
        <v>149</v>
      </c>
      <c r="G51" s="1">
        <v>0</v>
      </c>
      <c r="H51" s="6">
        <v>7</v>
      </c>
      <c r="I51" s="8">
        <v>1</v>
      </c>
      <c r="J51" s="10" t="s">
        <v>38</v>
      </c>
      <c r="K51" s="12">
        <v>800</v>
      </c>
      <c r="L51" s="6" t="s">
        <v>39</v>
      </c>
      <c r="M51" s="12">
        <v>1035.76</v>
      </c>
      <c r="N51" s="13">
        <v>1</v>
      </c>
      <c r="O51" s="12">
        <v>1036</v>
      </c>
      <c r="P51" s="6">
        <v>2024</v>
      </c>
      <c r="Q51" s="14"/>
      <c r="R51" s="17"/>
      <c r="S51" s="17"/>
      <c r="T51" s="17">
        <v>1036</v>
      </c>
      <c r="U51" s="17"/>
      <c r="V51" s="17"/>
      <c r="W51" s="17"/>
      <c r="X51" s="17"/>
      <c r="Y51" s="17"/>
      <c r="Z51" s="17"/>
      <c r="AA51" s="17">
        <v>1036</v>
      </c>
      <c r="AB51" s="17"/>
      <c r="AC51" s="17"/>
      <c r="AD51" s="17"/>
      <c r="AE51" s="17"/>
      <c r="AF51" s="17"/>
      <c r="AG51" s="17"/>
      <c r="AH51" s="17">
        <v>1036</v>
      </c>
      <c r="AI51" s="17"/>
      <c r="AJ51" s="17"/>
      <c r="AK51" s="17"/>
      <c r="AL51" s="21">
        <v>155</v>
      </c>
      <c r="AM51" s="17">
        <v>148</v>
      </c>
      <c r="AN51" s="24">
        <v>3108</v>
      </c>
      <c r="AO51" s="252" t="s">
        <v>118</v>
      </c>
      <c r="AP51" s="250"/>
      <c r="AQ51" s="2"/>
      <c r="AR51" s="2"/>
      <c r="AS51" s="2"/>
    </row>
    <row r="52" spans="1:45" x14ac:dyDescent="0.25">
      <c r="A52" s="42" t="s">
        <v>149</v>
      </c>
      <c r="B52" s="258" t="s">
        <v>44</v>
      </c>
      <c r="C52" s="259"/>
      <c r="D52" s="259"/>
      <c r="E52" s="259"/>
      <c r="F52" s="233" t="s">
        <v>149</v>
      </c>
      <c r="G52" s="1">
        <v>0</v>
      </c>
      <c r="H52" s="26">
        <v>15</v>
      </c>
      <c r="I52" s="27">
        <v>1</v>
      </c>
      <c r="J52" s="28" t="s">
        <v>38</v>
      </c>
      <c r="K52" s="29">
        <v>1000</v>
      </c>
      <c r="L52" s="26" t="s">
        <v>39</v>
      </c>
      <c r="M52" s="29">
        <v>1294.7</v>
      </c>
      <c r="N52" s="30">
        <v>1</v>
      </c>
      <c r="O52" s="29">
        <v>1295</v>
      </c>
      <c r="P52" s="26">
        <v>2032</v>
      </c>
      <c r="Q52" s="31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>
        <v>1295</v>
      </c>
      <c r="AC52" s="23"/>
      <c r="AD52" s="23"/>
      <c r="AE52" s="23"/>
      <c r="AF52" s="23"/>
      <c r="AG52" s="23"/>
      <c r="AH52" s="23"/>
      <c r="AI52" s="23"/>
      <c r="AJ52" s="23"/>
      <c r="AK52" s="23"/>
      <c r="AL52" s="22">
        <v>65</v>
      </c>
      <c r="AM52" s="23">
        <v>86</v>
      </c>
      <c r="AN52" s="25">
        <v>1295</v>
      </c>
      <c r="AO52" s="258" t="s">
        <v>119</v>
      </c>
      <c r="AP52" s="250"/>
      <c r="AQ52" s="2"/>
      <c r="AR52" s="2"/>
      <c r="AS52" s="2"/>
    </row>
    <row r="53" spans="1:45" x14ac:dyDescent="0.25">
      <c r="A53" s="42" t="s">
        <v>149</v>
      </c>
      <c r="B53" s="252" t="s">
        <v>44</v>
      </c>
      <c r="C53" s="250"/>
      <c r="D53" s="250"/>
      <c r="E53" s="250"/>
      <c r="F53" s="233" t="s">
        <v>149</v>
      </c>
      <c r="G53" s="1">
        <v>0</v>
      </c>
      <c r="H53" s="6">
        <v>25</v>
      </c>
      <c r="I53" s="8">
        <v>1</v>
      </c>
      <c r="J53" s="10" t="s">
        <v>38</v>
      </c>
      <c r="K53" s="12">
        <v>6500</v>
      </c>
      <c r="L53" s="6" t="s">
        <v>39</v>
      </c>
      <c r="M53" s="12">
        <v>8415.5499999999993</v>
      </c>
      <c r="N53" s="13">
        <v>1</v>
      </c>
      <c r="O53" s="12">
        <v>8416</v>
      </c>
      <c r="P53" s="6">
        <v>2042</v>
      </c>
      <c r="Q53" s="14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21">
        <v>0</v>
      </c>
      <c r="AM53" s="17">
        <v>337</v>
      </c>
      <c r="AN53" s="24">
        <v>0</v>
      </c>
      <c r="AO53" s="252" t="s">
        <v>120</v>
      </c>
      <c r="AP53" s="250"/>
      <c r="AQ53" s="2"/>
      <c r="AR53" s="2"/>
      <c r="AS53" s="2"/>
    </row>
    <row r="54" spans="1:45" x14ac:dyDescent="0.25">
      <c r="A54" s="43" t="s">
        <v>150</v>
      </c>
      <c r="B54" s="258" t="s">
        <v>121</v>
      </c>
      <c r="C54" s="259"/>
      <c r="D54" s="259"/>
      <c r="E54" s="259"/>
      <c r="F54" s="231" t="s">
        <v>150</v>
      </c>
      <c r="G54" s="1">
        <v>0</v>
      </c>
      <c r="H54" s="26">
        <v>25</v>
      </c>
      <c r="I54" s="27">
        <v>1</v>
      </c>
      <c r="J54" s="28" t="s">
        <v>38</v>
      </c>
      <c r="K54" s="29">
        <v>2000</v>
      </c>
      <c r="L54" s="26" t="s">
        <v>39</v>
      </c>
      <c r="M54" s="29">
        <v>2589.4</v>
      </c>
      <c r="N54" s="30">
        <v>1</v>
      </c>
      <c r="O54" s="29">
        <v>2589</v>
      </c>
      <c r="P54" s="26">
        <v>2042</v>
      </c>
      <c r="Q54" s="31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2">
        <v>0</v>
      </c>
      <c r="AM54" s="23">
        <v>104</v>
      </c>
      <c r="AN54" s="25">
        <v>0</v>
      </c>
      <c r="AO54" s="258" t="s">
        <v>122</v>
      </c>
      <c r="AP54" s="250"/>
      <c r="AQ54" s="2"/>
      <c r="AR54" s="2"/>
      <c r="AS54" s="2"/>
    </row>
    <row r="55" spans="1:45" x14ac:dyDescent="0.25">
      <c r="A55" s="43" t="s">
        <v>150</v>
      </c>
      <c r="B55" s="252" t="s">
        <v>123</v>
      </c>
      <c r="C55" s="250"/>
      <c r="D55" s="250"/>
      <c r="E55" s="250"/>
      <c r="F55" s="231" t="s">
        <v>150</v>
      </c>
      <c r="G55" s="19">
        <v>1</v>
      </c>
      <c r="H55" s="6">
        <v>40</v>
      </c>
      <c r="I55" s="8">
        <v>88</v>
      </c>
      <c r="J55" s="10" t="s">
        <v>47</v>
      </c>
      <c r="K55" s="12">
        <v>330.88</v>
      </c>
      <c r="L55" s="6" t="s">
        <v>39</v>
      </c>
      <c r="M55" s="12">
        <v>428.39032500000002</v>
      </c>
      <c r="N55" s="13">
        <v>1</v>
      </c>
      <c r="O55" s="12">
        <v>37698</v>
      </c>
      <c r="P55" s="6">
        <v>2057</v>
      </c>
      <c r="Q55" s="14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21">
        <v>0</v>
      </c>
      <c r="AM55" s="17">
        <v>942</v>
      </c>
      <c r="AN55" s="24">
        <v>0</v>
      </c>
      <c r="AO55" s="252" t="s">
        <v>124</v>
      </c>
      <c r="AP55" s="250"/>
      <c r="AQ55" s="2"/>
      <c r="AR55" s="2"/>
      <c r="AS55" s="2"/>
    </row>
    <row r="56" spans="1:45" x14ac:dyDescent="0.25">
      <c r="A56" s="43" t="s">
        <v>150</v>
      </c>
      <c r="B56" s="258" t="s">
        <v>125</v>
      </c>
      <c r="C56" s="259"/>
      <c r="D56" s="259"/>
      <c r="E56" s="259"/>
      <c r="F56" s="231" t="s">
        <v>150</v>
      </c>
      <c r="G56" s="19">
        <v>1</v>
      </c>
      <c r="H56" s="26">
        <v>15</v>
      </c>
      <c r="I56" s="27">
        <v>1</v>
      </c>
      <c r="J56" s="28" t="s">
        <v>47</v>
      </c>
      <c r="K56" s="29">
        <v>1741.03</v>
      </c>
      <c r="L56" s="26" t="s">
        <v>39</v>
      </c>
      <c r="M56" s="29">
        <v>2254.1089999999999</v>
      </c>
      <c r="N56" s="30">
        <v>1</v>
      </c>
      <c r="O56" s="29">
        <v>2254</v>
      </c>
      <c r="P56" s="26">
        <v>2032</v>
      </c>
      <c r="Q56" s="31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>
        <v>2254</v>
      </c>
      <c r="AC56" s="23"/>
      <c r="AD56" s="23"/>
      <c r="AE56" s="23"/>
      <c r="AF56" s="23"/>
      <c r="AG56" s="23"/>
      <c r="AH56" s="23"/>
      <c r="AI56" s="23"/>
      <c r="AJ56" s="23"/>
      <c r="AK56" s="23"/>
      <c r="AL56" s="22">
        <v>113</v>
      </c>
      <c r="AM56" s="23">
        <v>150</v>
      </c>
      <c r="AN56" s="25">
        <v>2254</v>
      </c>
      <c r="AO56" s="258" t="s">
        <v>126</v>
      </c>
      <c r="AP56" s="250"/>
      <c r="AQ56" s="2"/>
      <c r="AR56" s="2"/>
      <c r="AS56" s="2"/>
    </row>
    <row r="57" spans="1:45" x14ac:dyDescent="0.25">
      <c r="A57" s="43" t="s">
        <v>150</v>
      </c>
      <c r="B57" s="252" t="s">
        <v>127</v>
      </c>
      <c r="C57" s="250"/>
      <c r="D57" s="250"/>
      <c r="E57" s="250"/>
      <c r="F57" s="231" t="s">
        <v>150</v>
      </c>
      <c r="G57" s="19">
        <v>1</v>
      </c>
      <c r="H57" s="6">
        <v>25</v>
      </c>
      <c r="I57" s="8">
        <v>45</v>
      </c>
      <c r="J57" s="10" t="s">
        <v>47</v>
      </c>
      <c r="K57" s="12">
        <v>100</v>
      </c>
      <c r="L57" s="6" t="s">
        <v>39</v>
      </c>
      <c r="M57" s="12">
        <v>129.47</v>
      </c>
      <c r="N57" s="13">
        <v>1</v>
      </c>
      <c r="O57" s="12">
        <v>5826</v>
      </c>
      <c r="P57" s="6">
        <v>2042</v>
      </c>
      <c r="Q57" s="14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21">
        <v>0</v>
      </c>
      <c r="AM57" s="17">
        <v>233</v>
      </c>
      <c r="AN57" s="24">
        <v>0</v>
      </c>
      <c r="AO57" s="252" t="s">
        <v>128</v>
      </c>
      <c r="AP57" s="250"/>
      <c r="AQ57" s="2"/>
      <c r="AR57" s="2"/>
      <c r="AS57" s="2"/>
    </row>
    <row r="58" spans="1:45" x14ac:dyDescent="0.25">
      <c r="A58" s="40" t="s">
        <v>157</v>
      </c>
      <c r="B58" s="258" t="s">
        <v>127</v>
      </c>
      <c r="C58" s="259"/>
      <c r="D58" s="259"/>
      <c r="E58" s="259"/>
      <c r="F58" s="231" t="s">
        <v>150</v>
      </c>
      <c r="G58" s="19">
        <v>1</v>
      </c>
      <c r="H58" s="26">
        <v>25</v>
      </c>
      <c r="I58" s="27">
        <v>180</v>
      </c>
      <c r="J58" s="28" t="s">
        <v>47</v>
      </c>
      <c r="K58" s="29">
        <v>90</v>
      </c>
      <c r="L58" s="26" t="s">
        <v>39</v>
      </c>
      <c r="M58" s="29">
        <v>116.523</v>
      </c>
      <c r="N58" s="30">
        <v>1</v>
      </c>
      <c r="O58" s="29">
        <v>20974</v>
      </c>
      <c r="P58" s="26">
        <v>2042</v>
      </c>
      <c r="Q58" s="31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2">
        <v>0</v>
      </c>
      <c r="AM58" s="23">
        <v>839</v>
      </c>
      <c r="AN58" s="25">
        <v>0</v>
      </c>
      <c r="AO58" s="258" t="s">
        <v>129</v>
      </c>
      <c r="AP58" s="250"/>
      <c r="AQ58" s="2"/>
      <c r="AR58" s="2"/>
      <c r="AS58" s="2"/>
    </row>
    <row r="59" spans="1:45" x14ac:dyDescent="0.25">
      <c r="A59" s="40" t="s">
        <v>157</v>
      </c>
      <c r="B59" s="252" t="s">
        <v>130</v>
      </c>
      <c r="C59" s="250"/>
      <c r="D59" s="250"/>
      <c r="E59" s="250"/>
      <c r="F59" s="231" t="s">
        <v>150</v>
      </c>
      <c r="G59" s="19">
        <v>1</v>
      </c>
      <c r="H59" s="6">
        <v>25</v>
      </c>
      <c r="I59" s="8">
        <v>26</v>
      </c>
      <c r="J59" s="10" t="s">
        <v>47</v>
      </c>
      <c r="K59" s="12">
        <v>370.76</v>
      </c>
      <c r="L59" s="6" t="s">
        <v>39</v>
      </c>
      <c r="M59" s="12">
        <v>480.02282307692002</v>
      </c>
      <c r="N59" s="13">
        <v>1</v>
      </c>
      <c r="O59" s="12">
        <v>12481</v>
      </c>
      <c r="P59" s="6">
        <v>2042</v>
      </c>
      <c r="Q59" s="14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21">
        <v>0</v>
      </c>
      <c r="AM59" s="17">
        <v>499</v>
      </c>
      <c r="AN59" s="24">
        <v>0</v>
      </c>
      <c r="AO59" s="252" t="s">
        <v>131</v>
      </c>
      <c r="AP59" s="250"/>
      <c r="AQ59" s="2"/>
      <c r="AR59" s="2"/>
      <c r="AS59" s="2"/>
    </row>
    <row r="60" spans="1:45" x14ac:dyDescent="0.25">
      <c r="A60" s="40" t="s">
        <v>157</v>
      </c>
      <c r="B60" s="258" t="s">
        <v>46</v>
      </c>
      <c r="C60" s="259"/>
      <c r="D60" s="259"/>
      <c r="E60" s="259"/>
      <c r="F60" s="231" t="s">
        <v>150</v>
      </c>
      <c r="G60" s="1">
        <v>0</v>
      </c>
      <c r="H60" s="26">
        <v>4</v>
      </c>
      <c r="I60" s="27">
        <v>26</v>
      </c>
      <c r="J60" s="28" t="s">
        <v>47</v>
      </c>
      <c r="K60" s="29">
        <v>77.05</v>
      </c>
      <c r="L60" s="26" t="s">
        <v>39</v>
      </c>
      <c r="M60" s="29">
        <v>99.756588461538001</v>
      </c>
      <c r="N60" s="30">
        <v>1</v>
      </c>
      <c r="O60" s="29">
        <v>2594</v>
      </c>
      <c r="P60" s="26">
        <v>2022</v>
      </c>
      <c r="Q60" s="31"/>
      <c r="R60" s="23">
        <v>2594</v>
      </c>
      <c r="S60" s="23"/>
      <c r="T60" s="23"/>
      <c r="U60" s="23"/>
      <c r="V60" s="23">
        <v>2594</v>
      </c>
      <c r="W60" s="23"/>
      <c r="X60" s="23"/>
      <c r="Y60" s="23"/>
      <c r="Z60" s="23">
        <v>2594</v>
      </c>
      <c r="AA60" s="23"/>
      <c r="AB60" s="23"/>
      <c r="AC60" s="23"/>
      <c r="AD60" s="23">
        <v>2594</v>
      </c>
      <c r="AE60" s="23"/>
      <c r="AF60" s="23"/>
      <c r="AG60" s="23"/>
      <c r="AH60" s="23">
        <v>2594</v>
      </c>
      <c r="AI60" s="23"/>
      <c r="AJ60" s="23"/>
      <c r="AK60" s="23"/>
      <c r="AL60" s="22">
        <v>649</v>
      </c>
      <c r="AM60" s="23">
        <v>648</v>
      </c>
      <c r="AN60" s="25">
        <v>12970</v>
      </c>
      <c r="AO60" s="258" t="s">
        <v>48</v>
      </c>
      <c r="AP60" s="250"/>
      <c r="AQ60" s="2"/>
      <c r="AR60" s="2"/>
      <c r="AS60" s="2"/>
    </row>
    <row r="61" spans="1:45" x14ac:dyDescent="0.25">
      <c r="A61" s="43" t="s">
        <v>150</v>
      </c>
      <c r="B61" s="252" t="s">
        <v>132</v>
      </c>
      <c r="C61" s="250"/>
      <c r="D61" s="250"/>
      <c r="E61" s="250"/>
      <c r="F61" s="231" t="s">
        <v>150</v>
      </c>
      <c r="G61" s="1">
        <v>0</v>
      </c>
      <c r="H61" s="6">
        <v>5</v>
      </c>
      <c r="I61" s="8">
        <v>1</v>
      </c>
      <c r="J61" s="10" t="s">
        <v>38</v>
      </c>
      <c r="K61" s="12">
        <v>290</v>
      </c>
      <c r="L61" s="6" t="s">
        <v>39</v>
      </c>
      <c r="M61" s="12">
        <v>375.46300000000002</v>
      </c>
      <c r="N61" s="13">
        <v>1</v>
      </c>
      <c r="O61" s="12">
        <v>375</v>
      </c>
      <c r="P61" s="6">
        <v>2023</v>
      </c>
      <c r="Q61" s="14"/>
      <c r="R61" s="17"/>
      <c r="S61" s="17">
        <v>375</v>
      </c>
      <c r="T61" s="17"/>
      <c r="U61" s="17"/>
      <c r="V61" s="17"/>
      <c r="W61" s="17"/>
      <c r="X61" s="17">
        <v>375</v>
      </c>
      <c r="Y61" s="17"/>
      <c r="Z61" s="17"/>
      <c r="AA61" s="17"/>
      <c r="AB61" s="17"/>
      <c r="AC61" s="17">
        <v>375</v>
      </c>
      <c r="AD61" s="17"/>
      <c r="AE61" s="17"/>
      <c r="AF61" s="17"/>
      <c r="AG61" s="17"/>
      <c r="AH61" s="17">
        <v>375</v>
      </c>
      <c r="AI61" s="17"/>
      <c r="AJ61" s="17"/>
      <c r="AK61" s="17"/>
      <c r="AL61" s="21">
        <v>75</v>
      </c>
      <c r="AM61" s="17">
        <v>75</v>
      </c>
      <c r="AN61" s="24">
        <v>1500</v>
      </c>
      <c r="AO61" s="252" t="s">
        <v>133</v>
      </c>
      <c r="AP61" s="250"/>
      <c r="AQ61" s="2"/>
      <c r="AR61" s="2"/>
      <c r="AS61" s="2"/>
    </row>
    <row r="62" spans="1:45" x14ac:dyDescent="0.25">
      <c r="A62" s="40" t="s">
        <v>157</v>
      </c>
      <c r="B62" s="258" t="s">
        <v>134</v>
      </c>
      <c r="C62" s="259"/>
      <c r="D62" s="259"/>
      <c r="E62" s="259"/>
      <c r="F62" s="211" t="s">
        <v>157</v>
      </c>
      <c r="G62" s="19">
        <v>1</v>
      </c>
      <c r="H62" s="26">
        <v>15</v>
      </c>
      <c r="I62" s="27">
        <v>1</v>
      </c>
      <c r="J62" s="28" t="s">
        <v>38</v>
      </c>
      <c r="K62" s="29">
        <v>2500</v>
      </c>
      <c r="L62" s="26" t="s">
        <v>39</v>
      </c>
      <c r="M62" s="29">
        <v>3236.75</v>
      </c>
      <c r="N62" s="30">
        <v>1</v>
      </c>
      <c r="O62" s="29">
        <v>3237</v>
      </c>
      <c r="P62" s="26">
        <v>2031</v>
      </c>
      <c r="Q62" s="31"/>
      <c r="R62" s="23"/>
      <c r="S62" s="23"/>
      <c r="T62" s="23"/>
      <c r="U62" s="23"/>
      <c r="V62" s="23"/>
      <c r="W62" s="23"/>
      <c r="X62" s="23"/>
      <c r="Y62" s="23"/>
      <c r="Z62" s="23"/>
      <c r="AA62" s="23">
        <v>3237</v>
      </c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2">
        <v>162</v>
      </c>
      <c r="AM62" s="23">
        <v>216</v>
      </c>
      <c r="AN62" s="25">
        <v>3237</v>
      </c>
      <c r="AO62" s="258" t="s">
        <v>135</v>
      </c>
      <c r="AP62" s="250"/>
      <c r="AQ62" s="2"/>
      <c r="AR62" s="2"/>
      <c r="AS62" s="2"/>
    </row>
    <row r="63" spans="1:45" x14ac:dyDescent="0.25">
      <c r="A63" s="40" t="s">
        <v>157</v>
      </c>
      <c r="B63" s="252" t="s">
        <v>136</v>
      </c>
      <c r="C63" s="250"/>
      <c r="D63" s="250"/>
      <c r="E63" s="250"/>
      <c r="F63" s="211" t="s">
        <v>157</v>
      </c>
      <c r="G63" s="19">
        <v>1</v>
      </c>
      <c r="H63" s="6">
        <v>15</v>
      </c>
      <c r="I63" s="8">
        <v>32</v>
      </c>
      <c r="J63" s="10" t="s">
        <v>47</v>
      </c>
      <c r="K63" s="12">
        <v>321.08</v>
      </c>
      <c r="L63" s="6" t="s">
        <v>39</v>
      </c>
      <c r="M63" s="12">
        <v>415.70230624999999</v>
      </c>
      <c r="N63" s="13">
        <v>1</v>
      </c>
      <c r="O63" s="12">
        <v>13302</v>
      </c>
      <c r="P63" s="6">
        <v>2031</v>
      </c>
      <c r="Q63" s="14"/>
      <c r="R63" s="17"/>
      <c r="S63" s="17"/>
      <c r="T63" s="17"/>
      <c r="U63" s="17"/>
      <c r="V63" s="17"/>
      <c r="W63" s="17"/>
      <c r="X63" s="17"/>
      <c r="Y63" s="17"/>
      <c r="Z63" s="17"/>
      <c r="AA63" s="17">
        <v>13302</v>
      </c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21">
        <v>665</v>
      </c>
      <c r="AM63" s="17">
        <v>887</v>
      </c>
      <c r="AN63" s="24">
        <v>13302</v>
      </c>
      <c r="AO63" s="252" t="s">
        <v>137</v>
      </c>
      <c r="AP63" s="250"/>
      <c r="AQ63" s="2"/>
      <c r="AR63" s="2"/>
      <c r="AS63" s="2"/>
    </row>
    <row r="64" spans="1:45" x14ac:dyDescent="0.25">
      <c r="A64" s="42" t="s">
        <v>149</v>
      </c>
      <c r="B64" s="261" t="s">
        <v>163</v>
      </c>
      <c r="C64" s="259"/>
      <c r="D64" s="259"/>
      <c r="E64" s="259"/>
      <c r="F64" s="233" t="s">
        <v>149</v>
      </c>
      <c r="G64" s="1">
        <v>0</v>
      </c>
      <c r="H64" s="26">
        <v>2</v>
      </c>
      <c r="I64" s="27">
        <v>1</v>
      </c>
      <c r="J64" s="28" t="s">
        <v>38</v>
      </c>
      <c r="K64" s="29">
        <v>113.08</v>
      </c>
      <c r="L64" s="26" t="s">
        <v>39</v>
      </c>
      <c r="M64" s="29">
        <v>146.41</v>
      </c>
      <c r="N64" s="30">
        <v>1</v>
      </c>
      <c r="O64" s="29">
        <v>146</v>
      </c>
      <c r="P64" s="26">
        <v>2022</v>
      </c>
      <c r="Q64" s="61"/>
      <c r="R64" s="23">
        <v>146</v>
      </c>
      <c r="S64" s="23"/>
      <c r="T64" s="23">
        <v>146</v>
      </c>
      <c r="U64" s="23"/>
      <c r="V64" s="23">
        <v>146</v>
      </c>
      <c r="W64" s="23"/>
      <c r="X64" s="23">
        <v>146</v>
      </c>
      <c r="Y64" s="23"/>
      <c r="Z64" s="23">
        <v>146</v>
      </c>
      <c r="AA64" s="23"/>
      <c r="AB64" s="23">
        <v>146</v>
      </c>
      <c r="AC64" s="23"/>
      <c r="AD64" s="23">
        <v>146</v>
      </c>
      <c r="AE64" s="23"/>
      <c r="AF64" s="23">
        <v>146</v>
      </c>
      <c r="AG64" s="23"/>
      <c r="AH64" s="23">
        <v>146</v>
      </c>
      <c r="AI64" s="23"/>
      <c r="AJ64" s="23">
        <v>146</v>
      </c>
      <c r="AK64" s="23"/>
      <c r="AL64" s="22">
        <v>73</v>
      </c>
      <c r="AM64" s="23">
        <v>73</v>
      </c>
      <c r="AN64" s="25">
        <v>1460</v>
      </c>
      <c r="AO64" s="258" t="s">
        <v>50</v>
      </c>
      <c r="AP64" s="250"/>
      <c r="AQ64" s="2"/>
      <c r="AR64" s="2"/>
      <c r="AS64" s="2"/>
    </row>
    <row r="65" spans="1:45" ht="15" customHeight="1" x14ac:dyDescent="0.25">
      <c r="A65" s="42" t="s">
        <v>149</v>
      </c>
      <c r="B65" s="261" t="s">
        <v>163</v>
      </c>
      <c r="C65" s="259"/>
      <c r="D65" s="259"/>
      <c r="E65" s="259"/>
      <c r="F65" s="233" t="s">
        <v>149</v>
      </c>
      <c r="G65" s="1">
        <v>0</v>
      </c>
      <c r="H65" s="6">
        <v>4</v>
      </c>
      <c r="I65" s="8">
        <v>1</v>
      </c>
      <c r="J65" s="10" t="s">
        <v>38</v>
      </c>
      <c r="K65" s="12">
        <v>613.12</v>
      </c>
      <c r="L65" s="6" t="s">
        <v>39</v>
      </c>
      <c r="M65" s="12">
        <v>793.80840000000001</v>
      </c>
      <c r="N65" s="13">
        <v>1</v>
      </c>
      <c r="O65" s="12">
        <v>794</v>
      </c>
      <c r="P65" s="6">
        <v>2022</v>
      </c>
      <c r="Q65" s="62"/>
      <c r="R65" s="17">
        <v>794</v>
      </c>
      <c r="S65" s="17"/>
      <c r="T65" s="17"/>
      <c r="U65" s="17"/>
      <c r="V65" s="17">
        <v>794</v>
      </c>
      <c r="W65" s="17"/>
      <c r="X65" s="17"/>
      <c r="Y65" s="17"/>
      <c r="Z65" s="17">
        <v>794</v>
      </c>
      <c r="AA65" s="17"/>
      <c r="AB65" s="17"/>
      <c r="AC65" s="17"/>
      <c r="AD65" s="17">
        <v>794</v>
      </c>
      <c r="AE65" s="17"/>
      <c r="AF65" s="17"/>
      <c r="AG65" s="17"/>
      <c r="AH65" s="17">
        <v>794</v>
      </c>
      <c r="AI65" s="17"/>
      <c r="AJ65" s="17"/>
      <c r="AK65" s="17"/>
      <c r="AL65" s="21">
        <v>199</v>
      </c>
      <c r="AM65" s="17">
        <v>198</v>
      </c>
      <c r="AN65" s="24">
        <v>3970</v>
      </c>
      <c r="AO65" s="252" t="s">
        <v>51</v>
      </c>
      <c r="AP65" s="250"/>
      <c r="AQ65" s="2"/>
      <c r="AR65" s="2"/>
      <c r="AS65" s="2"/>
    </row>
    <row r="66" spans="1:45" ht="15" customHeight="1" x14ac:dyDescent="0.25">
      <c r="A66" s="42" t="s">
        <v>149</v>
      </c>
      <c r="B66" s="261" t="s">
        <v>163</v>
      </c>
      <c r="C66" s="259"/>
      <c r="D66" s="259"/>
      <c r="E66" s="259"/>
      <c r="F66" s="233" t="s">
        <v>149</v>
      </c>
      <c r="G66" s="1">
        <v>0</v>
      </c>
      <c r="H66" s="26">
        <v>6</v>
      </c>
      <c r="I66" s="27">
        <v>1</v>
      </c>
      <c r="J66" s="28" t="s">
        <v>38</v>
      </c>
      <c r="K66" s="29">
        <v>997.6</v>
      </c>
      <c r="L66" s="26" t="s">
        <v>39</v>
      </c>
      <c r="M66" s="29">
        <v>1291.5903000000001</v>
      </c>
      <c r="N66" s="30">
        <v>1</v>
      </c>
      <c r="O66" s="29">
        <v>1292</v>
      </c>
      <c r="P66" s="26">
        <v>2024</v>
      </c>
      <c r="Q66" s="61"/>
      <c r="R66" s="23"/>
      <c r="S66" s="23"/>
      <c r="T66" s="23">
        <v>1292</v>
      </c>
      <c r="U66" s="23"/>
      <c r="V66" s="23"/>
      <c r="W66" s="23"/>
      <c r="X66" s="23"/>
      <c r="Y66" s="23"/>
      <c r="Z66" s="23">
        <v>1292</v>
      </c>
      <c r="AA66" s="23"/>
      <c r="AB66" s="23"/>
      <c r="AC66" s="23"/>
      <c r="AD66" s="23"/>
      <c r="AE66" s="23"/>
      <c r="AF66" s="23">
        <v>1292</v>
      </c>
      <c r="AG66" s="23"/>
      <c r="AH66" s="23"/>
      <c r="AI66" s="23"/>
      <c r="AJ66" s="23"/>
      <c r="AK66" s="23"/>
      <c r="AL66" s="22">
        <v>194</v>
      </c>
      <c r="AM66" s="23">
        <v>215</v>
      </c>
      <c r="AN66" s="25">
        <v>3876</v>
      </c>
      <c r="AO66" s="258" t="s">
        <v>138</v>
      </c>
      <c r="AP66" s="250"/>
      <c r="AQ66" s="2"/>
      <c r="AR66" s="2"/>
      <c r="AS66" s="2"/>
    </row>
    <row r="67" spans="1:45" ht="15" customHeight="1" x14ac:dyDescent="0.25">
      <c r="A67" s="42" t="s">
        <v>149</v>
      </c>
      <c r="B67" s="261" t="s">
        <v>163</v>
      </c>
      <c r="C67" s="259"/>
      <c r="D67" s="259"/>
      <c r="E67" s="259"/>
      <c r="F67" s="233" t="s">
        <v>149</v>
      </c>
      <c r="G67" s="1">
        <v>0</v>
      </c>
      <c r="H67" s="6">
        <v>10</v>
      </c>
      <c r="I67" s="8">
        <v>1</v>
      </c>
      <c r="J67" s="10" t="s">
        <v>38</v>
      </c>
      <c r="K67" s="12">
        <v>1384.07</v>
      </c>
      <c r="L67" s="6" t="s">
        <v>39</v>
      </c>
      <c r="M67" s="12">
        <v>1791.9494999999999</v>
      </c>
      <c r="N67" s="13">
        <v>1</v>
      </c>
      <c r="O67" s="12">
        <v>1792</v>
      </c>
      <c r="P67" s="6">
        <v>2027</v>
      </c>
      <c r="Q67" s="62"/>
      <c r="R67" s="17"/>
      <c r="S67" s="17"/>
      <c r="T67" s="17"/>
      <c r="U67" s="17"/>
      <c r="V67" s="17"/>
      <c r="W67" s="17">
        <v>1792</v>
      </c>
      <c r="X67" s="17"/>
      <c r="Y67" s="17"/>
      <c r="Z67" s="17"/>
      <c r="AA67" s="17"/>
      <c r="AB67" s="17"/>
      <c r="AC67" s="17"/>
      <c r="AD67" s="17"/>
      <c r="AE67" s="17"/>
      <c r="AF67" s="17"/>
      <c r="AG67" s="17">
        <v>1792</v>
      </c>
      <c r="AH67" s="17"/>
      <c r="AI67" s="17"/>
      <c r="AJ67" s="17"/>
      <c r="AK67" s="17"/>
      <c r="AL67" s="21">
        <v>179</v>
      </c>
      <c r="AM67" s="17">
        <v>179</v>
      </c>
      <c r="AN67" s="24">
        <v>3584</v>
      </c>
      <c r="AO67" s="252" t="s">
        <v>139</v>
      </c>
      <c r="AP67" s="250"/>
      <c r="AQ67" s="2"/>
      <c r="AR67" s="2"/>
      <c r="AS67" s="2"/>
    </row>
    <row r="68" spans="1:45" ht="15" customHeight="1" x14ac:dyDescent="0.25">
      <c r="A68" s="42" t="s">
        <v>149</v>
      </c>
      <c r="B68" s="261" t="s">
        <v>163</v>
      </c>
      <c r="C68" s="259"/>
      <c r="D68" s="259"/>
      <c r="E68" s="259"/>
      <c r="F68" s="233" t="s">
        <v>149</v>
      </c>
      <c r="G68" s="1">
        <v>0</v>
      </c>
      <c r="H68" s="26">
        <v>12</v>
      </c>
      <c r="I68" s="27">
        <v>1</v>
      </c>
      <c r="J68" s="28" t="s">
        <v>38</v>
      </c>
      <c r="K68" s="29">
        <v>2885.75</v>
      </c>
      <c r="L68" s="26" t="s">
        <v>39</v>
      </c>
      <c r="M68" s="29">
        <v>3736.1774999999998</v>
      </c>
      <c r="N68" s="30">
        <v>1</v>
      </c>
      <c r="O68" s="29">
        <v>3736</v>
      </c>
      <c r="P68" s="26">
        <v>2031</v>
      </c>
      <c r="Q68" s="61"/>
      <c r="R68" s="23"/>
      <c r="S68" s="23"/>
      <c r="T68" s="23"/>
      <c r="U68" s="23"/>
      <c r="V68" s="23"/>
      <c r="W68" s="23"/>
      <c r="X68" s="23"/>
      <c r="Y68" s="23"/>
      <c r="Z68" s="23"/>
      <c r="AA68" s="23">
        <v>3736</v>
      </c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2">
        <v>187</v>
      </c>
      <c r="AM68" s="23">
        <v>311</v>
      </c>
      <c r="AN68" s="25">
        <v>3736</v>
      </c>
      <c r="AO68" s="258" t="s">
        <v>140</v>
      </c>
      <c r="AP68" s="250"/>
      <c r="AQ68" s="2"/>
      <c r="AR68" s="2"/>
      <c r="AS68" s="2"/>
    </row>
    <row r="69" spans="1:45" ht="15" customHeight="1" x14ac:dyDescent="0.25">
      <c r="A69" s="42" t="s">
        <v>149</v>
      </c>
      <c r="B69" s="261" t="s">
        <v>163</v>
      </c>
      <c r="C69" s="259"/>
      <c r="D69" s="259"/>
      <c r="E69" s="259"/>
      <c r="F69" s="233" t="s">
        <v>149</v>
      </c>
      <c r="G69" s="1">
        <v>0</v>
      </c>
      <c r="H69" s="6">
        <v>3</v>
      </c>
      <c r="I69" s="8">
        <v>1</v>
      </c>
      <c r="J69" s="10" t="s">
        <v>38</v>
      </c>
      <c r="K69" s="12">
        <v>163</v>
      </c>
      <c r="L69" s="6" t="s">
        <v>39</v>
      </c>
      <c r="M69" s="12">
        <v>211.0361</v>
      </c>
      <c r="N69" s="13">
        <v>1</v>
      </c>
      <c r="O69" s="12">
        <v>211</v>
      </c>
      <c r="P69" s="6">
        <v>2024</v>
      </c>
      <c r="Q69" s="62"/>
      <c r="R69" s="17"/>
      <c r="S69" s="17"/>
      <c r="T69" s="17">
        <v>211</v>
      </c>
      <c r="U69" s="17"/>
      <c r="V69" s="17"/>
      <c r="W69" s="17">
        <v>211</v>
      </c>
      <c r="X69" s="17"/>
      <c r="Y69" s="17"/>
      <c r="Z69" s="17">
        <v>211</v>
      </c>
      <c r="AA69" s="17"/>
      <c r="AB69" s="17"/>
      <c r="AC69" s="17">
        <v>211</v>
      </c>
      <c r="AD69" s="17"/>
      <c r="AE69" s="17"/>
      <c r="AF69" s="17">
        <v>211</v>
      </c>
      <c r="AG69" s="17"/>
      <c r="AH69" s="17"/>
      <c r="AI69" s="17">
        <v>211</v>
      </c>
      <c r="AJ69" s="17"/>
      <c r="AK69" s="17"/>
      <c r="AL69" s="21">
        <v>63</v>
      </c>
      <c r="AM69" s="17">
        <v>70</v>
      </c>
      <c r="AN69" s="24">
        <v>1266</v>
      </c>
      <c r="AO69" s="252" t="s">
        <v>141</v>
      </c>
      <c r="AP69" s="250"/>
      <c r="AQ69" s="2"/>
      <c r="AR69" s="2"/>
      <c r="AS69" s="2"/>
    </row>
    <row r="70" spans="1:45" ht="30" customHeight="1" x14ac:dyDescent="0.25">
      <c r="A70" s="40" t="s">
        <v>157</v>
      </c>
      <c r="B70" s="258" t="s">
        <v>49</v>
      </c>
      <c r="C70" s="259"/>
      <c r="D70" s="259"/>
      <c r="E70" s="259"/>
      <c r="F70" s="211" t="s">
        <v>157</v>
      </c>
      <c r="G70" s="1">
        <v>0</v>
      </c>
      <c r="H70" s="26">
        <v>10</v>
      </c>
      <c r="I70" s="27">
        <v>1</v>
      </c>
      <c r="J70" s="28" t="s">
        <v>38</v>
      </c>
      <c r="K70" s="29">
        <v>17745</v>
      </c>
      <c r="L70" s="26" t="s">
        <v>39</v>
      </c>
      <c r="M70" s="29">
        <v>22974.451499999999</v>
      </c>
      <c r="N70" s="30">
        <v>1</v>
      </c>
      <c r="O70" s="29">
        <v>22974</v>
      </c>
      <c r="P70" s="26">
        <v>2027</v>
      </c>
      <c r="Q70" s="31"/>
      <c r="R70" s="23"/>
      <c r="S70" s="23"/>
      <c r="T70" s="23"/>
      <c r="U70" s="23"/>
      <c r="V70" s="23"/>
      <c r="W70" s="23">
        <v>22974</v>
      </c>
      <c r="X70" s="23"/>
      <c r="Y70" s="23"/>
      <c r="Z70" s="23"/>
      <c r="AA70" s="23"/>
      <c r="AB70" s="23"/>
      <c r="AC70" s="23"/>
      <c r="AD70" s="23"/>
      <c r="AE70" s="23"/>
      <c r="AF70" s="23"/>
      <c r="AG70" s="23">
        <v>22974</v>
      </c>
      <c r="AH70" s="23"/>
      <c r="AI70" s="23"/>
      <c r="AJ70" s="23"/>
      <c r="AK70" s="23"/>
      <c r="AL70" s="22">
        <v>2297</v>
      </c>
      <c r="AM70" s="23">
        <v>2297</v>
      </c>
      <c r="AN70" s="25">
        <v>45948</v>
      </c>
      <c r="AO70" s="258" t="s">
        <v>142</v>
      </c>
      <c r="AP70" s="250"/>
      <c r="AQ70" s="2"/>
      <c r="AR70" s="2"/>
      <c r="AS70" s="2"/>
    </row>
    <row r="71" spans="1:45" ht="45" customHeight="1" x14ac:dyDescent="0.25">
      <c r="A71" s="40" t="s">
        <v>157</v>
      </c>
      <c r="B71" s="252" t="s">
        <v>49</v>
      </c>
      <c r="C71" s="250"/>
      <c r="D71" s="250"/>
      <c r="E71" s="250"/>
      <c r="F71" s="211" t="s">
        <v>157</v>
      </c>
      <c r="G71" s="1">
        <v>0</v>
      </c>
      <c r="H71" s="6">
        <v>15</v>
      </c>
      <c r="I71" s="8">
        <v>1</v>
      </c>
      <c r="J71" s="10" t="s">
        <v>38</v>
      </c>
      <c r="K71" s="12">
        <v>13765</v>
      </c>
      <c r="L71" s="6" t="s">
        <v>39</v>
      </c>
      <c r="M71" s="12">
        <v>17821.5455</v>
      </c>
      <c r="N71" s="13">
        <v>1</v>
      </c>
      <c r="O71" s="12">
        <v>17822</v>
      </c>
      <c r="P71" s="6">
        <v>2031</v>
      </c>
      <c r="Q71" s="14"/>
      <c r="R71" s="17"/>
      <c r="S71" s="17"/>
      <c r="T71" s="17"/>
      <c r="U71" s="17"/>
      <c r="V71" s="17"/>
      <c r="W71" s="17"/>
      <c r="X71" s="17"/>
      <c r="Y71" s="17"/>
      <c r="Z71" s="17"/>
      <c r="AA71" s="17">
        <v>17822</v>
      </c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21">
        <v>891</v>
      </c>
      <c r="AM71" s="17">
        <v>1188</v>
      </c>
      <c r="AN71" s="24">
        <v>17822</v>
      </c>
      <c r="AO71" s="252" t="s">
        <v>143</v>
      </c>
      <c r="AP71" s="250"/>
      <c r="AQ71" s="2"/>
      <c r="AR71" s="2"/>
      <c r="AS71" s="2"/>
    </row>
    <row r="72" spans="1:45" ht="30" customHeight="1" x14ac:dyDescent="0.25">
      <c r="A72" s="40" t="s">
        <v>157</v>
      </c>
      <c r="B72" s="258" t="s">
        <v>49</v>
      </c>
      <c r="C72" s="259"/>
      <c r="D72" s="259"/>
      <c r="E72" s="259"/>
      <c r="F72" s="211" t="s">
        <v>157</v>
      </c>
      <c r="G72" s="1">
        <v>0</v>
      </c>
      <c r="H72" s="26">
        <v>20</v>
      </c>
      <c r="I72" s="27">
        <v>1</v>
      </c>
      <c r="J72" s="28" t="s">
        <v>38</v>
      </c>
      <c r="K72" s="29">
        <v>13163</v>
      </c>
      <c r="L72" s="26" t="s">
        <v>39</v>
      </c>
      <c r="M72" s="29">
        <v>17042.1361</v>
      </c>
      <c r="N72" s="30">
        <v>1</v>
      </c>
      <c r="O72" s="29">
        <v>17042</v>
      </c>
      <c r="P72" s="26">
        <v>2027</v>
      </c>
      <c r="Q72" s="31"/>
      <c r="R72" s="23"/>
      <c r="S72" s="23"/>
      <c r="T72" s="23"/>
      <c r="U72" s="23"/>
      <c r="V72" s="23"/>
      <c r="W72" s="23">
        <v>17042</v>
      </c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2">
        <v>852</v>
      </c>
      <c r="AM72" s="23">
        <v>852</v>
      </c>
      <c r="AN72" s="25">
        <v>17042</v>
      </c>
      <c r="AO72" s="258" t="s">
        <v>144</v>
      </c>
      <c r="AP72" s="250"/>
      <c r="AQ72" s="2"/>
      <c r="AR72" s="2"/>
      <c r="AS72" s="2"/>
    </row>
    <row r="73" spans="1:45" ht="30" customHeight="1" x14ac:dyDescent="0.25">
      <c r="A73" s="40" t="s">
        <v>157</v>
      </c>
      <c r="B73" s="252" t="s">
        <v>49</v>
      </c>
      <c r="C73" s="250"/>
      <c r="D73" s="250"/>
      <c r="E73" s="250"/>
      <c r="F73" s="211" t="s">
        <v>157</v>
      </c>
      <c r="G73" s="1">
        <v>0</v>
      </c>
      <c r="H73" s="6">
        <v>20</v>
      </c>
      <c r="I73" s="8">
        <v>1</v>
      </c>
      <c r="J73" s="10" t="s">
        <v>38</v>
      </c>
      <c r="K73" s="12">
        <v>37050</v>
      </c>
      <c r="L73" s="6" t="s">
        <v>39</v>
      </c>
      <c r="M73" s="12">
        <v>47968.635000000002</v>
      </c>
      <c r="N73" s="13">
        <v>1</v>
      </c>
      <c r="O73" s="12">
        <v>47969</v>
      </c>
      <c r="P73" s="6">
        <v>2036</v>
      </c>
      <c r="Q73" s="14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>
        <v>47969</v>
      </c>
      <c r="AG73" s="17"/>
      <c r="AH73" s="17"/>
      <c r="AI73" s="17"/>
      <c r="AJ73" s="17"/>
      <c r="AK73" s="17"/>
      <c r="AL73" s="21">
        <v>2398</v>
      </c>
      <c r="AM73" s="17">
        <v>2398</v>
      </c>
      <c r="AN73" s="24">
        <v>47969</v>
      </c>
      <c r="AO73" s="252" t="s">
        <v>145</v>
      </c>
      <c r="AP73" s="250"/>
      <c r="AQ73" s="2"/>
      <c r="AR73" s="2"/>
      <c r="AS73" s="2"/>
    </row>
    <row r="74" spans="1:45" x14ac:dyDescent="0.25">
      <c r="A74" s="40" t="s">
        <v>157</v>
      </c>
      <c r="B74" s="258" t="s">
        <v>49</v>
      </c>
      <c r="C74" s="259"/>
      <c r="D74" s="259"/>
      <c r="E74" s="259"/>
      <c r="F74" s="211" t="s">
        <v>157</v>
      </c>
      <c r="G74" s="1">
        <v>0</v>
      </c>
      <c r="H74" s="26">
        <v>25</v>
      </c>
      <c r="I74" s="27">
        <v>1</v>
      </c>
      <c r="J74" s="28" t="s">
        <v>38</v>
      </c>
      <c r="K74" s="29">
        <v>44005</v>
      </c>
      <c r="L74" s="26" t="s">
        <v>39</v>
      </c>
      <c r="M74" s="29">
        <v>56973.273500000003</v>
      </c>
      <c r="N74" s="30">
        <v>1</v>
      </c>
      <c r="O74" s="29">
        <v>56973</v>
      </c>
      <c r="P74" s="26">
        <v>2041</v>
      </c>
      <c r="Q74" s="31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>
        <v>56973</v>
      </c>
      <c r="AL74" s="22">
        <v>2849</v>
      </c>
      <c r="AM74" s="23">
        <v>2279</v>
      </c>
      <c r="AN74" s="25">
        <v>56973</v>
      </c>
      <c r="AO74" s="258" t="s">
        <v>146</v>
      </c>
      <c r="AP74" s="250"/>
      <c r="AQ74" s="2"/>
      <c r="AR74" s="2"/>
      <c r="AS74" s="2"/>
    </row>
    <row r="75" spans="1:45" ht="17.25" x14ac:dyDescent="0.25">
      <c r="A75" s="38"/>
      <c r="B75" s="249" t="s">
        <v>52</v>
      </c>
      <c r="C75" s="250"/>
      <c r="D75" s="250"/>
      <c r="E75" s="249"/>
      <c r="F75" s="230"/>
      <c r="G75" s="7"/>
      <c r="H75" s="7"/>
      <c r="I75" s="7"/>
      <c r="J75" s="7"/>
      <c r="K75" s="7"/>
      <c r="L75" s="7"/>
      <c r="M75" s="7"/>
      <c r="N75" s="7"/>
      <c r="O75" s="7"/>
      <c r="P75" s="7"/>
      <c r="Q75" s="15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33"/>
      <c r="AM75" s="16"/>
      <c r="AN75" s="36"/>
      <c r="AO75" s="251"/>
      <c r="AP75" s="251"/>
      <c r="AQ75" s="2"/>
      <c r="AR75" s="2"/>
      <c r="AS75" s="2"/>
    </row>
    <row r="76" spans="1:45" x14ac:dyDescent="0.25">
      <c r="A76" s="43" t="s">
        <v>150</v>
      </c>
      <c r="B76" s="252" t="s">
        <v>147</v>
      </c>
      <c r="C76" s="250"/>
      <c r="D76" s="250"/>
      <c r="E76" s="250"/>
      <c r="F76" s="231" t="s">
        <v>150</v>
      </c>
      <c r="G76" s="1">
        <v>0</v>
      </c>
      <c r="H76" s="6">
        <v>3</v>
      </c>
      <c r="I76" s="8">
        <v>1</v>
      </c>
      <c r="J76" s="10" t="s">
        <v>38</v>
      </c>
      <c r="K76" s="12">
        <v>1275</v>
      </c>
      <c r="L76" s="6" t="s">
        <v>39</v>
      </c>
      <c r="M76" s="12">
        <v>1650.7425000000001</v>
      </c>
      <c r="N76" s="13">
        <v>1</v>
      </c>
      <c r="O76" s="12">
        <v>1651</v>
      </c>
      <c r="P76" s="6">
        <v>2024</v>
      </c>
      <c r="Q76" s="14"/>
      <c r="R76" s="17"/>
      <c r="S76" s="17"/>
      <c r="T76" s="17">
        <v>1651</v>
      </c>
      <c r="U76" s="17"/>
      <c r="V76" s="17"/>
      <c r="W76" s="17">
        <v>1651</v>
      </c>
      <c r="X76" s="17"/>
      <c r="Y76" s="17"/>
      <c r="Z76" s="17">
        <v>1651</v>
      </c>
      <c r="AA76" s="17"/>
      <c r="AB76" s="17"/>
      <c r="AC76" s="17">
        <v>1651</v>
      </c>
      <c r="AD76" s="17"/>
      <c r="AE76" s="17"/>
      <c r="AF76" s="17">
        <v>1651</v>
      </c>
      <c r="AG76" s="17"/>
      <c r="AH76" s="17"/>
      <c r="AI76" s="17">
        <v>1651</v>
      </c>
      <c r="AJ76" s="17"/>
      <c r="AK76" s="17"/>
      <c r="AL76" s="21">
        <v>495</v>
      </c>
      <c r="AM76" s="17">
        <v>550</v>
      </c>
      <c r="AN76" s="24">
        <v>9906</v>
      </c>
      <c r="AO76" s="252" t="s">
        <v>148</v>
      </c>
      <c r="AP76" s="250"/>
      <c r="AQ76" s="2"/>
      <c r="AR76" s="2"/>
      <c r="AS76" s="2"/>
    </row>
    <row r="77" spans="1:45" x14ac:dyDescent="0.25">
      <c r="B77" s="2"/>
      <c r="C77" s="2"/>
      <c r="D77" s="2"/>
      <c r="E77" s="2"/>
      <c r="F77" s="2"/>
      <c r="G77" s="2"/>
      <c r="H77" s="2"/>
      <c r="I77" s="2"/>
      <c r="J77" s="2"/>
      <c r="K77" s="262" t="s">
        <v>53</v>
      </c>
      <c r="L77" s="243"/>
      <c r="M77" s="243"/>
      <c r="N77" s="243"/>
      <c r="O77" s="243"/>
      <c r="P77" s="243"/>
      <c r="Q77" s="243"/>
      <c r="R77" s="18">
        <f>SUM(R15:R76)</f>
        <v>11108</v>
      </c>
      <c r="S77" s="18">
        <f t="shared" ref="S77:V77" si="0">SUM(S15:S76)</f>
        <v>569</v>
      </c>
      <c r="T77" s="18">
        <f t="shared" si="0"/>
        <v>7573</v>
      </c>
      <c r="U77" s="18">
        <f t="shared" si="0"/>
        <v>2589</v>
      </c>
      <c r="V77" s="18">
        <f t="shared" si="0"/>
        <v>3728</v>
      </c>
      <c r="W77" s="18">
        <f t="shared" ref="W77" si="1">SUM(W15:W76)</f>
        <v>64190</v>
      </c>
      <c r="X77" s="18">
        <f t="shared" ref="X77" si="2">SUM(X15:X76)</f>
        <v>3110</v>
      </c>
      <c r="Y77" s="18">
        <f t="shared" ref="Y77" si="3">SUM(Y15:Y76)</f>
        <v>194</v>
      </c>
      <c r="Z77" s="18">
        <f t="shared" ref="Z77" si="4">SUM(Z15:Z76)</f>
        <v>6688</v>
      </c>
      <c r="AA77" s="18">
        <f t="shared" ref="AA77" si="5">SUM(AA15:AA76)</f>
        <v>47044</v>
      </c>
      <c r="AB77" s="18">
        <f t="shared" ref="AB77" si="6">SUM(AB15:AB76)</f>
        <v>10623</v>
      </c>
      <c r="AC77" s="18">
        <f t="shared" ref="AC77" si="7">SUM(AC15:AC76)</f>
        <v>2237</v>
      </c>
      <c r="AD77" s="18">
        <f t="shared" ref="AD77" si="8">SUM(AD15:AD76)</f>
        <v>14425</v>
      </c>
      <c r="AE77" s="18">
        <f t="shared" ref="AE77" si="9">SUM(AE15:AE76)</f>
        <v>194</v>
      </c>
      <c r="AF77" s="18">
        <f t="shared" ref="AF77" si="10">SUM(AF15:AF76)</f>
        <v>51269</v>
      </c>
      <c r="AG77" s="18">
        <f t="shared" ref="AG77" si="11">SUM(AG15:AG76)</f>
        <v>125955</v>
      </c>
      <c r="AH77" s="18">
        <f t="shared" ref="AH77" si="12">SUM(AH15:AH76)</f>
        <v>8376</v>
      </c>
      <c r="AI77" s="18">
        <f t="shared" ref="AI77" si="13">SUM(AI15:AI76)</f>
        <v>1862</v>
      </c>
      <c r="AJ77" s="18">
        <f t="shared" ref="AJ77" si="14">SUM(AJ15:AJ76)</f>
        <v>2735</v>
      </c>
      <c r="AK77" s="18">
        <f t="shared" ref="AK77" si="15">SUM(AK15:AK76)</f>
        <v>57167</v>
      </c>
      <c r="AL77" s="34">
        <f>SUM(AL15:AL76)</f>
        <v>21082</v>
      </c>
      <c r="AM77" s="34">
        <f t="shared" ref="AM77:AN77" si="16">SUM(AM15:AM76)</f>
        <v>69298</v>
      </c>
      <c r="AN77" s="34">
        <f t="shared" si="16"/>
        <v>421636</v>
      </c>
      <c r="AO77" s="34"/>
      <c r="AP77" s="2"/>
      <c r="AQ77" s="2"/>
      <c r="AR77" s="2"/>
      <c r="AS77" s="2"/>
    </row>
    <row r="78" spans="1:45" ht="24" thickBot="1" x14ac:dyDescent="0.4">
      <c r="B78" s="56" t="s">
        <v>151</v>
      </c>
      <c r="D78" s="44"/>
      <c r="AL78" s="45">
        <f>+AN77/20</f>
        <v>21081.8</v>
      </c>
    </row>
    <row r="79" spans="1:45" ht="21" x14ac:dyDescent="0.35">
      <c r="B79" s="47" t="s">
        <v>223</v>
      </c>
      <c r="C79" s="48"/>
      <c r="D79" s="57">
        <v>0.03</v>
      </c>
      <c r="E79" s="48"/>
      <c r="F79" s="48"/>
      <c r="G79" s="48"/>
      <c r="H79" s="48"/>
      <c r="I79" s="48"/>
      <c r="J79" s="48"/>
      <c r="K79" s="48"/>
      <c r="L79" s="48"/>
      <c r="M79" s="52"/>
      <c r="N79" s="48"/>
      <c r="O79" s="54"/>
      <c r="P79" s="48"/>
      <c r="Q79" s="48"/>
      <c r="R79" s="48">
        <v>1</v>
      </c>
      <c r="S79" s="48">
        <f>+R79+1</f>
        <v>2</v>
      </c>
      <c r="T79" s="48">
        <f t="shared" ref="T79:AK79" si="17">+S79+1</f>
        <v>3</v>
      </c>
      <c r="U79" s="48">
        <f t="shared" si="17"/>
        <v>4</v>
      </c>
      <c r="V79" s="48">
        <f t="shared" si="17"/>
        <v>5</v>
      </c>
      <c r="W79" s="48">
        <f t="shared" si="17"/>
        <v>6</v>
      </c>
      <c r="X79" s="48">
        <f t="shared" si="17"/>
        <v>7</v>
      </c>
      <c r="Y79" s="48">
        <f t="shared" si="17"/>
        <v>8</v>
      </c>
      <c r="Z79" s="48">
        <f t="shared" si="17"/>
        <v>9</v>
      </c>
      <c r="AA79" s="48">
        <f t="shared" si="17"/>
        <v>10</v>
      </c>
      <c r="AB79" s="48">
        <f t="shared" si="17"/>
        <v>11</v>
      </c>
      <c r="AC79" s="48">
        <f t="shared" si="17"/>
        <v>12</v>
      </c>
      <c r="AD79" s="48">
        <f t="shared" si="17"/>
        <v>13</v>
      </c>
      <c r="AE79" s="48">
        <f t="shared" si="17"/>
        <v>14</v>
      </c>
      <c r="AF79" s="48">
        <f t="shared" si="17"/>
        <v>15</v>
      </c>
      <c r="AG79" s="48">
        <f t="shared" si="17"/>
        <v>16</v>
      </c>
      <c r="AH79" s="48">
        <f t="shared" si="17"/>
        <v>17</v>
      </c>
      <c r="AI79" s="48">
        <f t="shared" si="17"/>
        <v>18</v>
      </c>
      <c r="AJ79" s="48">
        <f t="shared" si="17"/>
        <v>19</v>
      </c>
      <c r="AK79" s="48">
        <f t="shared" si="17"/>
        <v>20</v>
      </c>
      <c r="AL79" s="168" t="s">
        <v>60</v>
      </c>
      <c r="AM79" s="191" t="s">
        <v>152</v>
      </c>
    </row>
    <row r="80" spans="1:45" ht="15.75" thickBot="1" x14ac:dyDescent="0.3">
      <c r="B80" s="164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53"/>
      <c r="N80" s="49"/>
      <c r="O80" s="55"/>
      <c r="P80" s="49"/>
      <c r="Q80" s="49"/>
      <c r="R80" s="55">
        <f t="shared" ref="R80:AK80" si="18">+R77*(1+$D$79)^R79</f>
        <v>11441.24</v>
      </c>
      <c r="S80" s="55">
        <f t="shared" si="18"/>
        <v>603.65210000000002</v>
      </c>
      <c r="T80" s="55">
        <f t="shared" si="18"/>
        <v>8275.221571</v>
      </c>
      <c r="U80" s="55">
        <f t="shared" si="18"/>
        <v>2913.94230909</v>
      </c>
      <c r="V80" s="55">
        <f t="shared" si="18"/>
        <v>4321.7737489903993</v>
      </c>
      <c r="W80" s="55">
        <f t="shared" si="18"/>
        <v>76646.216914196499</v>
      </c>
      <c r="X80" s="55">
        <f t="shared" si="18"/>
        <v>3824.9077214713457</v>
      </c>
      <c r="Y80" s="55">
        <f t="shared" si="18"/>
        <v>245.7533957891975</v>
      </c>
      <c r="Z80" s="55">
        <f t="shared" si="18"/>
        <v>8726.3230534499871</v>
      </c>
      <c r="AA80" s="55">
        <f t="shared" si="18"/>
        <v>63223.202149864868</v>
      </c>
      <c r="AB80" s="55">
        <f t="shared" si="18"/>
        <v>14704.716408705784</v>
      </c>
      <c r="AC80" s="55">
        <f t="shared" si="18"/>
        <v>3189.4271038749016</v>
      </c>
      <c r="AD80" s="55">
        <f t="shared" si="18"/>
        <v>21183.598816538808</v>
      </c>
      <c r="AE80" s="55">
        <f t="shared" si="18"/>
        <v>293.44240662189151</v>
      </c>
      <c r="AF80" s="55">
        <f t="shared" si="18"/>
        <v>79875.431481704596</v>
      </c>
      <c r="AG80" s="55">
        <f t="shared" si="18"/>
        <v>202120.79953668773</v>
      </c>
      <c r="AH80" s="55">
        <f t="shared" si="18"/>
        <v>13844.251767908183</v>
      </c>
      <c r="AI80" s="55">
        <f t="shared" si="18"/>
        <v>3169.9303600286999</v>
      </c>
      <c r="AJ80" s="55">
        <f t="shared" si="18"/>
        <v>4795.8390551658695</v>
      </c>
      <c r="AK80" s="55">
        <f t="shared" si="18"/>
        <v>103249.96095234634</v>
      </c>
      <c r="AL80" s="188">
        <f>SUM(R80:AK80)</f>
        <v>626649.63085343514</v>
      </c>
      <c r="AM80" s="141">
        <f>+AL80/20</f>
        <v>31332.481542671758</v>
      </c>
    </row>
    <row r="81" spans="1:41" x14ac:dyDescent="0.25">
      <c r="B81" s="46"/>
      <c r="M81" s="41"/>
      <c r="O81" s="45"/>
      <c r="AK81" s="163"/>
      <c r="AL81" s="184"/>
    </row>
    <row r="82" spans="1:41" ht="21.75" thickBot="1" x14ac:dyDescent="0.4">
      <c r="A82" s="194" t="s">
        <v>238</v>
      </c>
      <c r="B82" s="46"/>
      <c r="M82" s="41"/>
      <c r="O82" s="194" t="s">
        <v>239</v>
      </c>
      <c r="V82" s="41" t="s">
        <v>246</v>
      </c>
      <c r="AK82" s="163"/>
      <c r="AL82" s="184"/>
    </row>
    <row r="83" spans="1:41" x14ac:dyDescent="0.25">
      <c r="A83" s="192"/>
      <c r="B83" s="193"/>
      <c r="C83" s="193"/>
      <c r="D83" s="193"/>
      <c r="E83" s="166" t="s">
        <v>226</v>
      </c>
      <c r="F83" s="166" t="s">
        <v>237</v>
      </c>
      <c r="G83" s="167" t="s">
        <v>241</v>
      </c>
      <c r="H83" s="166" t="s">
        <v>154</v>
      </c>
      <c r="I83" s="210" t="s">
        <v>152</v>
      </c>
      <c r="K83" s="215" t="s">
        <v>227</v>
      </c>
      <c r="M83" s="41"/>
      <c r="O83" s="208" t="s">
        <v>234</v>
      </c>
      <c r="P83" s="193"/>
      <c r="Q83" s="193"/>
      <c r="R83" s="207">
        <f>+R14</f>
        <v>2022</v>
      </c>
      <c r="S83" s="207">
        <f>+S14</f>
        <v>2023</v>
      </c>
      <c r="T83" s="207">
        <f t="shared" ref="T83:AK83" si="19">+T14</f>
        <v>2024</v>
      </c>
      <c r="U83" s="207">
        <f t="shared" si="19"/>
        <v>2025</v>
      </c>
      <c r="V83" s="207">
        <f t="shared" si="19"/>
        <v>2026</v>
      </c>
      <c r="W83" s="207">
        <f t="shared" si="19"/>
        <v>2027</v>
      </c>
      <c r="X83" s="207">
        <f t="shared" si="19"/>
        <v>2028</v>
      </c>
      <c r="Y83" s="207">
        <f t="shared" si="19"/>
        <v>2029</v>
      </c>
      <c r="Z83" s="207">
        <f t="shared" si="19"/>
        <v>2030</v>
      </c>
      <c r="AA83" s="207">
        <f t="shared" si="19"/>
        <v>2031</v>
      </c>
      <c r="AB83" s="207">
        <f t="shared" si="19"/>
        <v>2032</v>
      </c>
      <c r="AC83" s="207">
        <f t="shared" si="19"/>
        <v>2033</v>
      </c>
      <c r="AD83" s="207">
        <f t="shared" si="19"/>
        <v>2034</v>
      </c>
      <c r="AE83" s="207">
        <f t="shared" si="19"/>
        <v>2035</v>
      </c>
      <c r="AF83" s="207">
        <f t="shared" si="19"/>
        <v>2036</v>
      </c>
      <c r="AG83" s="207">
        <f t="shared" si="19"/>
        <v>2037</v>
      </c>
      <c r="AH83" s="207">
        <f t="shared" si="19"/>
        <v>2038</v>
      </c>
      <c r="AI83" s="207">
        <f t="shared" si="19"/>
        <v>2039</v>
      </c>
      <c r="AJ83" s="207">
        <f t="shared" si="19"/>
        <v>2040</v>
      </c>
      <c r="AK83" s="207">
        <f t="shared" si="19"/>
        <v>2041</v>
      </c>
      <c r="AL83" s="166" t="s">
        <v>60</v>
      </c>
      <c r="AM83" s="209" t="s">
        <v>152</v>
      </c>
    </row>
    <row r="84" spans="1:41" x14ac:dyDescent="0.25">
      <c r="A84" s="195" t="s">
        <v>150</v>
      </c>
      <c r="B84" s="65" t="s">
        <v>159</v>
      </c>
      <c r="C84" s="65"/>
      <c r="D84" s="65"/>
      <c r="E84" s="45">
        <f>+AL85</f>
        <v>83520.796402507345</v>
      </c>
      <c r="F84" s="45">
        <f>+Reserves!J32</f>
        <v>51008.800000000003</v>
      </c>
      <c r="H84" s="45">
        <f>+E84-F84+G84</f>
        <v>32511.996402507342</v>
      </c>
      <c r="I84" s="140">
        <f>+H84/20</f>
        <v>1625.5998201253672</v>
      </c>
      <c r="K84" s="213">
        <f>+Reserves!I32</f>
        <v>8625</v>
      </c>
      <c r="M84" s="41"/>
      <c r="O84" s="205" t="s">
        <v>150</v>
      </c>
      <c r="P84" t="s">
        <v>230</v>
      </c>
      <c r="R84" s="45">
        <f t="shared" ref="R84:AK84" si="20">SUMIF($A$16:$A$76,$O84,R$16:R$76)</f>
        <v>2589</v>
      </c>
      <c r="S84" s="45">
        <f t="shared" si="20"/>
        <v>375</v>
      </c>
      <c r="T84" s="45">
        <f t="shared" si="20"/>
        <v>4888</v>
      </c>
      <c r="U84" s="45">
        <f t="shared" si="20"/>
        <v>2589</v>
      </c>
      <c r="V84" s="45">
        <f t="shared" si="20"/>
        <v>0</v>
      </c>
      <c r="W84" s="45">
        <f t="shared" si="20"/>
        <v>6182</v>
      </c>
      <c r="X84" s="45">
        <f t="shared" si="20"/>
        <v>2964</v>
      </c>
      <c r="Y84" s="45">
        <f t="shared" si="20"/>
        <v>0</v>
      </c>
      <c r="Z84" s="45">
        <f t="shared" si="20"/>
        <v>1651</v>
      </c>
      <c r="AA84" s="45">
        <f t="shared" si="20"/>
        <v>5826</v>
      </c>
      <c r="AB84" s="45">
        <f t="shared" si="20"/>
        <v>2254</v>
      </c>
      <c r="AC84" s="45">
        <f t="shared" si="20"/>
        <v>2026</v>
      </c>
      <c r="AD84" s="45">
        <f t="shared" si="20"/>
        <v>10891</v>
      </c>
      <c r="AE84" s="45">
        <f t="shared" si="20"/>
        <v>0</v>
      </c>
      <c r="AF84" s="45">
        <f t="shared" si="20"/>
        <v>1651</v>
      </c>
      <c r="AG84" s="45">
        <f t="shared" si="20"/>
        <v>8285</v>
      </c>
      <c r="AH84" s="45">
        <f t="shared" si="20"/>
        <v>3612</v>
      </c>
      <c r="AI84" s="45">
        <f t="shared" si="20"/>
        <v>1651</v>
      </c>
      <c r="AJ84" s="45">
        <f t="shared" si="20"/>
        <v>2589</v>
      </c>
      <c r="AK84" s="45">
        <f t="shared" si="20"/>
        <v>0</v>
      </c>
      <c r="AL84" s="206">
        <f>SUM(R84:AK84)</f>
        <v>60023</v>
      </c>
      <c r="AM84" s="203"/>
      <c r="AN84" s="201"/>
    </row>
    <row r="85" spans="1:41" x14ac:dyDescent="0.25">
      <c r="A85" s="196" t="s">
        <v>156</v>
      </c>
      <c r="B85" s="2" t="s">
        <v>160</v>
      </c>
      <c r="C85" s="2"/>
      <c r="E85" s="45">
        <f>+AL88</f>
        <v>0</v>
      </c>
      <c r="F85" s="45">
        <f>+Reserves!J33</f>
        <v>7375</v>
      </c>
      <c r="G85" s="45">
        <v>7375</v>
      </c>
      <c r="H85" s="45">
        <f>+E85-F85+G85</f>
        <v>0</v>
      </c>
      <c r="I85" s="140">
        <f>+H85/20</f>
        <v>0</v>
      </c>
      <c r="K85" s="213">
        <f>+Reserves!I33</f>
        <v>875</v>
      </c>
      <c r="O85" s="175" t="s">
        <v>150</v>
      </c>
      <c r="P85" t="s">
        <v>231</v>
      </c>
      <c r="R85" s="45">
        <f>+R84*(1+$D$79)^R$79</f>
        <v>2666.67</v>
      </c>
      <c r="S85" s="45">
        <f t="shared" ref="S85:AK85" si="21">+S84*(1+$D$79)^S$79</f>
        <v>397.83749999999998</v>
      </c>
      <c r="T85" s="45">
        <f t="shared" si="21"/>
        <v>5341.2495760000002</v>
      </c>
      <c r="U85" s="45">
        <f t="shared" si="21"/>
        <v>2913.94230909</v>
      </c>
      <c r="V85" s="45">
        <f t="shared" si="21"/>
        <v>0</v>
      </c>
      <c r="W85" s="45">
        <f t="shared" si="21"/>
        <v>7381.6312971422776</v>
      </c>
      <c r="X85" s="45">
        <f t="shared" si="21"/>
        <v>3645.3461371193148</v>
      </c>
      <c r="Y85" s="45">
        <f t="shared" si="21"/>
        <v>0</v>
      </c>
      <c r="Z85" s="45">
        <f t="shared" si="21"/>
        <v>2154.1805265020826</v>
      </c>
      <c r="AA85" s="45">
        <f t="shared" si="21"/>
        <v>7829.6568260588538</v>
      </c>
      <c r="AB85" s="45">
        <f t="shared" si="21"/>
        <v>3120.0631446129</v>
      </c>
      <c r="AC85" s="45">
        <f t="shared" si="21"/>
        <v>2888.591556750358</v>
      </c>
      <c r="AD85" s="45">
        <f t="shared" si="21"/>
        <v>15993.800673200984</v>
      </c>
      <c r="AE85" s="45">
        <f t="shared" si="21"/>
        <v>0</v>
      </c>
      <c r="AF85" s="45">
        <f t="shared" si="21"/>
        <v>2572.204204807862</v>
      </c>
      <c r="AG85" s="45">
        <f t="shared" si="21"/>
        <v>13294.99284793345</v>
      </c>
      <c r="AH85" s="45">
        <f t="shared" si="21"/>
        <v>5970.0856477655634</v>
      </c>
      <c r="AI85" s="45">
        <f t="shared" si="21"/>
        <v>2810.7169841070804</v>
      </c>
      <c r="AJ85" s="45">
        <f t="shared" si="21"/>
        <v>4539.8271714166131</v>
      </c>
      <c r="AK85" s="45">
        <f t="shared" si="21"/>
        <v>0</v>
      </c>
      <c r="AL85" s="185">
        <f>SUM(R85:AK85)</f>
        <v>83520.796402507345</v>
      </c>
      <c r="AM85" s="51">
        <f>+AL85/20</f>
        <v>4176.0398201253674</v>
      </c>
      <c r="AN85" s="201"/>
      <c r="AO85" s="45"/>
    </row>
    <row r="86" spans="1:41" x14ac:dyDescent="0.25">
      <c r="A86" s="197" t="s">
        <v>157</v>
      </c>
      <c r="B86" s="68" t="s">
        <v>235</v>
      </c>
      <c r="C86" s="68"/>
      <c r="D86" s="68"/>
      <c r="E86" s="45">
        <f>+AL91</f>
        <v>402220.4311023936</v>
      </c>
      <c r="F86" s="45">
        <f>+Reserves!J34</f>
        <v>36125</v>
      </c>
      <c r="G86" s="45">
        <v>-7375</v>
      </c>
      <c r="H86" s="45">
        <f>+E86-F86</f>
        <v>366095.4311023936</v>
      </c>
      <c r="I86" s="140">
        <f>+H86/20</f>
        <v>18304.771555119682</v>
      </c>
      <c r="K86" s="213">
        <f>+Reserves!I34</f>
        <v>6625</v>
      </c>
      <c r="O86" s="176"/>
      <c r="AL86" s="186"/>
      <c r="AM86" s="202"/>
      <c r="AO86" s="45"/>
    </row>
    <row r="87" spans="1:41" x14ac:dyDescent="0.25">
      <c r="A87" s="198" t="s">
        <v>158</v>
      </c>
      <c r="B87" s="70" t="s">
        <v>236</v>
      </c>
      <c r="C87" s="70"/>
      <c r="D87" s="70"/>
      <c r="E87" s="45">
        <f>+AL94</f>
        <v>51941.138020749539</v>
      </c>
      <c r="F87" s="45">
        <f>+Reserves!J35</f>
        <v>-886.01000000000022</v>
      </c>
      <c r="H87" s="45">
        <f>+E87-F87</f>
        <v>52827.148020749541</v>
      </c>
      <c r="I87" s="140">
        <f>+H87/20</f>
        <v>2641.3574010374768</v>
      </c>
      <c r="K87" s="213">
        <f>+Reserves!I35</f>
        <v>2500</v>
      </c>
      <c r="O87" s="177" t="s">
        <v>156</v>
      </c>
      <c r="P87" t="s">
        <v>230</v>
      </c>
      <c r="R87" s="45">
        <f t="shared" ref="R87:AK87" si="22">SUMIF($A$16:$A$76,$O87,R$16:R$76)</f>
        <v>0</v>
      </c>
      <c r="S87" s="45">
        <f t="shared" si="22"/>
        <v>0</v>
      </c>
      <c r="T87" s="45">
        <f t="shared" si="22"/>
        <v>0</v>
      </c>
      <c r="U87" s="45">
        <f t="shared" si="22"/>
        <v>0</v>
      </c>
      <c r="V87" s="45">
        <f t="shared" si="22"/>
        <v>0</v>
      </c>
      <c r="W87" s="45">
        <f t="shared" si="22"/>
        <v>0</v>
      </c>
      <c r="X87" s="45">
        <f t="shared" si="22"/>
        <v>0</v>
      </c>
      <c r="Y87" s="45">
        <f t="shared" si="22"/>
        <v>0</v>
      </c>
      <c r="Z87" s="45">
        <f t="shared" si="22"/>
        <v>0</v>
      </c>
      <c r="AA87" s="45">
        <f t="shared" si="22"/>
        <v>0</v>
      </c>
      <c r="AB87" s="45">
        <f t="shared" si="22"/>
        <v>0</v>
      </c>
      <c r="AC87" s="45">
        <f t="shared" si="22"/>
        <v>0</v>
      </c>
      <c r="AD87" s="45">
        <f t="shared" si="22"/>
        <v>0</v>
      </c>
      <c r="AE87" s="45">
        <f t="shared" si="22"/>
        <v>0</v>
      </c>
      <c r="AF87" s="45">
        <f t="shared" si="22"/>
        <v>0</v>
      </c>
      <c r="AG87" s="45">
        <f t="shared" si="22"/>
        <v>0</v>
      </c>
      <c r="AH87" s="45">
        <f t="shared" si="22"/>
        <v>0</v>
      </c>
      <c r="AI87" s="45">
        <f t="shared" si="22"/>
        <v>0</v>
      </c>
      <c r="AJ87" s="45">
        <f t="shared" si="22"/>
        <v>0</v>
      </c>
      <c r="AK87" s="45">
        <f t="shared" si="22"/>
        <v>0</v>
      </c>
      <c r="AL87" s="189">
        <f>SUM(R87:AK87)</f>
        <v>0</v>
      </c>
      <c r="AM87" s="203"/>
      <c r="AN87" s="201"/>
      <c r="AO87" s="45"/>
    </row>
    <row r="88" spans="1:41" x14ac:dyDescent="0.25">
      <c r="A88" s="199" t="s">
        <v>149</v>
      </c>
      <c r="B88" s="72" t="s">
        <v>153</v>
      </c>
      <c r="C88" s="72"/>
      <c r="D88" s="72"/>
      <c r="E88" s="165">
        <f>+AL97</f>
        <v>88967.265327784611</v>
      </c>
      <c r="F88" s="165">
        <f>+Reserves!J36</f>
        <v>23800</v>
      </c>
      <c r="G88" s="100"/>
      <c r="H88" s="165">
        <f>+E88-F88</f>
        <v>65167.265327784611</v>
      </c>
      <c r="I88" s="142">
        <f>+H88/20</f>
        <v>3258.3632663892304</v>
      </c>
      <c r="K88" s="214">
        <f>+Reserves!I36</f>
        <v>3150</v>
      </c>
      <c r="O88" s="177" t="s">
        <v>156</v>
      </c>
      <c r="P88" t="s">
        <v>231</v>
      </c>
      <c r="R88" s="45">
        <f>+R87*(1+$D$79)^R$79</f>
        <v>0</v>
      </c>
      <c r="S88" s="45">
        <f t="shared" ref="S88:AK88" si="23">+S87*(1+$D$79)^S$79</f>
        <v>0</v>
      </c>
      <c r="T88" s="45">
        <f t="shared" si="23"/>
        <v>0</v>
      </c>
      <c r="U88" s="45">
        <f t="shared" si="23"/>
        <v>0</v>
      </c>
      <c r="V88" s="45">
        <f t="shared" si="23"/>
        <v>0</v>
      </c>
      <c r="W88" s="45">
        <f t="shared" si="23"/>
        <v>0</v>
      </c>
      <c r="X88" s="45">
        <f t="shared" si="23"/>
        <v>0</v>
      </c>
      <c r="Y88" s="45">
        <f t="shared" si="23"/>
        <v>0</v>
      </c>
      <c r="Z88" s="45">
        <f t="shared" si="23"/>
        <v>0</v>
      </c>
      <c r="AA88" s="45">
        <f t="shared" si="23"/>
        <v>0</v>
      </c>
      <c r="AB88" s="45">
        <f t="shared" si="23"/>
        <v>0</v>
      </c>
      <c r="AC88" s="45">
        <f t="shared" si="23"/>
        <v>0</v>
      </c>
      <c r="AD88" s="45">
        <f t="shared" si="23"/>
        <v>0</v>
      </c>
      <c r="AE88" s="45">
        <f t="shared" si="23"/>
        <v>0</v>
      </c>
      <c r="AF88" s="45">
        <f t="shared" si="23"/>
        <v>0</v>
      </c>
      <c r="AG88" s="45">
        <f t="shared" si="23"/>
        <v>0</v>
      </c>
      <c r="AH88" s="45">
        <f t="shared" si="23"/>
        <v>0</v>
      </c>
      <c r="AI88" s="45">
        <f t="shared" si="23"/>
        <v>0</v>
      </c>
      <c r="AJ88" s="45">
        <f t="shared" si="23"/>
        <v>0</v>
      </c>
      <c r="AK88" s="45">
        <f t="shared" si="23"/>
        <v>0</v>
      </c>
      <c r="AL88" s="185">
        <f>SUM(R88:AK88)</f>
        <v>0</v>
      </c>
      <c r="AM88" s="51">
        <f>+AL88/20</f>
        <v>0</v>
      </c>
      <c r="AN88" s="201"/>
      <c r="AO88" s="45"/>
    </row>
    <row r="89" spans="1:41" ht="15.75" thickBot="1" x14ac:dyDescent="0.3">
      <c r="A89" s="164"/>
      <c r="B89" s="49"/>
      <c r="C89" s="49"/>
      <c r="D89" s="49" t="s">
        <v>60</v>
      </c>
      <c r="E89" s="55">
        <f>SUM(E84:E88)</f>
        <v>626649.63085343502</v>
      </c>
      <c r="F89" s="55">
        <f>SUM(F84:F88)</f>
        <v>117422.79000000001</v>
      </c>
      <c r="G89" s="49">
        <f>SUM(G84:G88)</f>
        <v>0</v>
      </c>
      <c r="H89" s="55">
        <f>SUM(H84:H88)</f>
        <v>516601.8408534351</v>
      </c>
      <c r="I89" s="50">
        <f>SUM(I84:I88)</f>
        <v>25830.092042671757</v>
      </c>
      <c r="K89" s="228">
        <f>SUM(K84:K88)</f>
        <v>21775</v>
      </c>
      <c r="O89" s="176"/>
      <c r="AL89" s="186"/>
      <c r="AM89" s="202"/>
      <c r="AO89" s="165"/>
    </row>
    <row r="90" spans="1:41" x14ac:dyDescent="0.25">
      <c r="O90" s="178" t="s">
        <v>157</v>
      </c>
      <c r="P90" t="s">
        <v>230</v>
      </c>
      <c r="R90" s="45">
        <f t="shared" ref="R90:AK90" si="24">SUMIF($A$16:$A$76,$O90,R$16:R$76)</f>
        <v>2594</v>
      </c>
      <c r="S90" s="45">
        <f t="shared" si="24"/>
        <v>0</v>
      </c>
      <c r="T90" s="45">
        <f t="shared" si="24"/>
        <v>0</v>
      </c>
      <c r="U90" s="45">
        <f t="shared" si="24"/>
        <v>0</v>
      </c>
      <c r="V90" s="45">
        <f t="shared" si="24"/>
        <v>2594</v>
      </c>
      <c r="W90" s="45">
        <f t="shared" si="24"/>
        <v>51020</v>
      </c>
      <c r="X90" s="45">
        <f t="shared" si="24"/>
        <v>0</v>
      </c>
      <c r="Y90" s="45">
        <f t="shared" si="24"/>
        <v>0</v>
      </c>
      <c r="Z90" s="45">
        <f t="shared" si="24"/>
        <v>2594</v>
      </c>
      <c r="AA90" s="45">
        <f t="shared" si="24"/>
        <v>35093</v>
      </c>
      <c r="AB90" s="45">
        <f t="shared" si="24"/>
        <v>1749</v>
      </c>
      <c r="AC90" s="45">
        <f t="shared" si="24"/>
        <v>0</v>
      </c>
      <c r="AD90" s="45">
        <f t="shared" si="24"/>
        <v>2594</v>
      </c>
      <c r="AE90" s="45">
        <f t="shared" si="24"/>
        <v>0</v>
      </c>
      <c r="AF90" s="45">
        <f t="shared" si="24"/>
        <v>47969</v>
      </c>
      <c r="AG90" s="45">
        <f t="shared" si="24"/>
        <v>60399</v>
      </c>
      <c r="AH90" s="45">
        <f t="shared" si="24"/>
        <v>2594</v>
      </c>
      <c r="AI90" s="45">
        <f t="shared" si="24"/>
        <v>0</v>
      </c>
      <c r="AJ90" s="45">
        <f t="shared" si="24"/>
        <v>0</v>
      </c>
      <c r="AK90" s="45">
        <f t="shared" si="24"/>
        <v>56973</v>
      </c>
      <c r="AL90" s="189">
        <f>SUM(R90:AK90)</f>
        <v>266173</v>
      </c>
      <c r="AM90" s="203"/>
      <c r="AN90" s="201"/>
    </row>
    <row r="91" spans="1:41" x14ac:dyDescent="0.25">
      <c r="K91" s="45"/>
      <c r="O91" s="178" t="s">
        <v>157</v>
      </c>
      <c r="P91" t="s">
        <v>231</v>
      </c>
      <c r="R91" s="45">
        <f>+R90*(1+$D$79)^R$79</f>
        <v>2671.82</v>
      </c>
      <c r="S91" s="45">
        <f t="shared" ref="S91:AK91" si="25">+S90*(1+$D$79)^S$79</f>
        <v>0</v>
      </c>
      <c r="T91" s="45">
        <f t="shared" si="25"/>
        <v>0</v>
      </c>
      <c r="U91" s="45">
        <f t="shared" si="25"/>
        <v>0</v>
      </c>
      <c r="V91" s="45">
        <f t="shared" si="25"/>
        <v>3007.1569487341994</v>
      </c>
      <c r="W91" s="45">
        <f t="shared" si="25"/>
        <v>60920.548168909576</v>
      </c>
      <c r="X91" s="45">
        <f t="shared" si="25"/>
        <v>0</v>
      </c>
      <c r="Y91" s="45">
        <f t="shared" si="25"/>
        <v>0</v>
      </c>
      <c r="Z91" s="45">
        <f t="shared" si="25"/>
        <v>3384.5816388530602</v>
      </c>
      <c r="AA91" s="45">
        <f t="shared" si="25"/>
        <v>47162.057500323266</v>
      </c>
      <c r="AB91" s="45">
        <f t="shared" si="25"/>
        <v>2421.0250398970552</v>
      </c>
      <c r="AC91" s="45">
        <f t="shared" si="25"/>
        <v>0</v>
      </c>
      <c r="AD91" s="45">
        <f t="shared" si="25"/>
        <v>3809.3764526933569</v>
      </c>
      <c r="AE91" s="45">
        <f t="shared" si="25"/>
        <v>0</v>
      </c>
      <c r="AF91" s="45">
        <f t="shared" si="25"/>
        <v>74734.139006922065</v>
      </c>
      <c r="AG91" s="45">
        <f t="shared" si="25"/>
        <v>96922.664215127646</v>
      </c>
      <c r="AH91" s="45">
        <f t="shared" si="25"/>
        <v>4287.4867581129211</v>
      </c>
      <c r="AI91" s="45">
        <f t="shared" si="25"/>
        <v>0</v>
      </c>
      <c r="AJ91" s="45">
        <f t="shared" si="25"/>
        <v>0</v>
      </c>
      <c r="AK91" s="45">
        <f t="shared" si="25"/>
        <v>102899.57537282049</v>
      </c>
      <c r="AL91" s="185">
        <f>SUM(R91:AK91)</f>
        <v>402220.4311023936</v>
      </c>
      <c r="AM91" s="51">
        <f>+AL91/20</f>
        <v>20111.021555119682</v>
      </c>
      <c r="AN91" s="201"/>
    </row>
    <row r="92" spans="1:41" x14ac:dyDescent="0.25">
      <c r="D92" s="41"/>
      <c r="O92" s="176"/>
      <c r="AL92" s="186"/>
      <c r="AM92" s="202"/>
    </row>
    <row r="93" spans="1:41" ht="15.75" thickBot="1" x14ac:dyDescent="0.3">
      <c r="D93" s="46" t="s">
        <v>255</v>
      </c>
      <c r="O93" s="179" t="s">
        <v>158</v>
      </c>
      <c r="P93" t="s">
        <v>230</v>
      </c>
      <c r="R93" s="45">
        <f t="shared" ref="R93:AK93" si="26">SUMIF($A$16:$A$76,$O93,R$16:R$76)</f>
        <v>0</v>
      </c>
      <c r="S93" s="45">
        <f t="shared" si="26"/>
        <v>0</v>
      </c>
      <c r="T93" s="45">
        <f t="shared" si="26"/>
        <v>0</v>
      </c>
      <c r="U93" s="45">
        <f t="shared" si="26"/>
        <v>0</v>
      </c>
      <c r="V93" s="45">
        <f t="shared" si="26"/>
        <v>0</v>
      </c>
      <c r="W93" s="45">
        <f t="shared" si="26"/>
        <v>0</v>
      </c>
      <c r="X93" s="45">
        <f t="shared" si="26"/>
        <v>0</v>
      </c>
      <c r="Y93" s="45">
        <f t="shared" si="26"/>
        <v>0</v>
      </c>
      <c r="Z93" s="45">
        <f t="shared" si="26"/>
        <v>0</v>
      </c>
      <c r="AA93" s="45">
        <f t="shared" si="26"/>
        <v>0</v>
      </c>
      <c r="AB93" s="45">
        <f t="shared" si="26"/>
        <v>0</v>
      </c>
      <c r="AC93" s="45">
        <f t="shared" si="26"/>
        <v>0</v>
      </c>
      <c r="AD93" s="45">
        <f t="shared" si="26"/>
        <v>0</v>
      </c>
      <c r="AE93" s="45">
        <f t="shared" si="26"/>
        <v>0</v>
      </c>
      <c r="AF93" s="45">
        <f t="shared" si="26"/>
        <v>0</v>
      </c>
      <c r="AG93" s="45">
        <f t="shared" si="26"/>
        <v>32368</v>
      </c>
      <c r="AH93" s="45">
        <f t="shared" si="26"/>
        <v>0</v>
      </c>
      <c r="AI93" s="45">
        <f t="shared" si="26"/>
        <v>0</v>
      </c>
      <c r="AJ93" s="45">
        <f t="shared" si="26"/>
        <v>0</v>
      </c>
      <c r="AK93" s="45">
        <f t="shared" si="26"/>
        <v>0</v>
      </c>
      <c r="AL93" s="189">
        <f>SUM(R93:AK93)</f>
        <v>32368</v>
      </c>
      <c r="AM93" s="203"/>
      <c r="AN93" s="201"/>
    </row>
    <row r="94" spans="1:41" x14ac:dyDescent="0.25">
      <c r="D94" s="192"/>
      <c r="E94" s="166" t="s">
        <v>32</v>
      </c>
      <c r="F94" s="166" t="s">
        <v>247</v>
      </c>
      <c r="G94" s="166" t="s">
        <v>227</v>
      </c>
      <c r="H94" s="209" t="s">
        <v>155</v>
      </c>
      <c r="J94" s="163"/>
      <c r="O94" s="179" t="s">
        <v>158</v>
      </c>
      <c r="P94" t="s">
        <v>231</v>
      </c>
      <c r="R94" s="45">
        <f>+R93*(1+$D$79)^R$79</f>
        <v>0</v>
      </c>
      <c r="S94" s="45">
        <f t="shared" ref="S94:AK94" si="27">+S93*(1+$D$79)^S$79</f>
        <v>0</v>
      </c>
      <c r="T94" s="45">
        <f t="shared" si="27"/>
        <v>0</v>
      </c>
      <c r="U94" s="45">
        <f t="shared" si="27"/>
        <v>0</v>
      </c>
      <c r="V94" s="45">
        <f t="shared" si="27"/>
        <v>0</v>
      </c>
      <c r="W94" s="45">
        <f t="shared" si="27"/>
        <v>0</v>
      </c>
      <c r="X94" s="45">
        <f t="shared" si="27"/>
        <v>0</v>
      </c>
      <c r="Y94" s="45">
        <f t="shared" si="27"/>
        <v>0</v>
      </c>
      <c r="Z94" s="45">
        <f t="shared" si="27"/>
        <v>0</v>
      </c>
      <c r="AA94" s="45">
        <f t="shared" si="27"/>
        <v>0</v>
      </c>
      <c r="AB94" s="45">
        <f t="shared" si="27"/>
        <v>0</v>
      </c>
      <c r="AC94" s="45">
        <f t="shared" si="27"/>
        <v>0</v>
      </c>
      <c r="AD94" s="45">
        <f t="shared" si="27"/>
        <v>0</v>
      </c>
      <c r="AE94" s="45">
        <f t="shared" si="27"/>
        <v>0</v>
      </c>
      <c r="AF94" s="45">
        <f t="shared" si="27"/>
        <v>0</v>
      </c>
      <c r="AG94" s="45">
        <f t="shared" si="27"/>
        <v>51941.138020749539</v>
      </c>
      <c r="AH94" s="45">
        <f t="shared" si="27"/>
        <v>0</v>
      </c>
      <c r="AI94" s="45">
        <f t="shared" si="27"/>
        <v>0</v>
      </c>
      <c r="AJ94" s="45">
        <f t="shared" si="27"/>
        <v>0</v>
      </c>
      <c r="AK94" s="45">
        <f t="shared" si="27"/>
        <v>0</v>
      </c>
      <c r="AL94" s="185">
        <f>SUM(R94:AK94)</f>
        <v>51941.138020749539</v>
      </c>
      <c r="AM94" s="51">
        <f>+AL94/20</f>
        <v>2597.056901037477</v>
      </c>
      <c r="AN94" s="201"/>
    </row>
    <row r="95" spans="1:41" x14ac:dyDescent="0.25">
      <c r="D95" s="221" t="s">
        <v>248</v>
      </c>
      <c r="E95">
        <v>35</v>
      </c>
      <c r="F95" s="45">
        <f>+I84/E95</f>
        <v>46.445709146439064</v>
      </c>
      <c r="G95" s="45">
        <f>+K84/E95</f>
        <v>246.42857142857142</v>
      </c>
      <c r="H95" s="140">
        <f>+F95-G95</f>
        <v>-199.98286228213234</v>
      </c>
      <c r="O95" s="176"/>
      <c r="AL95" s="186"/>
      <c r="AM95" s="202"/>
    </row>
    <row r="96" spans="1:41" x14ac:dyDescent="0.25">
      <c r="D96" s="217" t="s">
        <v>250</v>
      </c>
      <c r="E96">
        <v>32</v>
      </c>
      <c r="F96" s="45">
        <f t="shared" ref="F96:F99" si="28">+I85/E96</f>
        <v>0</v>
      </c>
      <c r="G96" s="45">
        <f t="shared" ref="G96:G99" si="29">+K85/E96</f>
        <v>27.34375</v>
      </c>
      <c r="H96" s="140">
        <f t="shared" ref="H96:H98" si="30">+F96-G96</f>
        <v>-27.34375</v>
      </c>
      <c r="O96" s="180" t="s">
        <v>149</v>
      </c>
      <c r="P96" t="s">
        <v>230</v>
      </c>
      <c r="R96" s="45">
        <f t="shared" ref="R96:AK96" si="31">SUMIF($A$16:$A$76,$O96,R$16:R$76)</f>
        <v>5925</v>
      </c>
      <c r="S96" s="45">
        <f t="shared" si="31"/>
        <v>194</v>
      </c>
      <c r="T96" s="45">
        <f t="shared" si="31"/>
        <v>2685</v>
      </c>
      <c r="U96" s="45">
        <f t="shared" si="31"/>
        <v>0</v>
      </c>
      <c r="V96" s="45">
        <f t="shared" si="31"/>
        <v>1134</v>
      </c>
      <c r="W96" s="45">
        <f t="shared" si="31"/>
        <v>6988</v>
      </c>
      <c r="X96" s="45">
        <f t="shared" si="31"/>
        <v>146</v>
      </c>
      <c r="Y96" s="45">
        <f t="shared" si="31"/>
        <v>194</v>
      </c>
      <c r="Z96" s="45">
        <f t="shared" si="31"/>
        <v>2443</v>
      </c>
      <c r="AA96" s="45">
        <f t="shared" si="31"/>
        <v>6125</v>
      </c>
      <c r="AB96" s="45">
        <f t="shared" si="31"/>
        <v>6620</v>
      </c>
      <c r="AC96" s="45">
        <f t="shared" si="31"/>
        <v>211</v>
      </c>
      <c r="AD96" s="45">
        <f t="shared" si="31"/>
        <v>940</v>
      </c>
      <c r="AE96" s="45">
        <f t="shared" si="31"/>
        <v>194</v>
      </c>
      <c r="AF96" s="45">
        <f t="shared" si="31"/>
        <v>1649</v>
      </c>
      <c r="AG96" s="45">
        <f t="shared" si="31"/>
        <v>24903</v>
      </c>
      <c r="AH96" s="45">
        <f t="shared" si="31"/>
        <v>2170</v>
      </c>
      <c r="AI96" s="45">
        <f t="shared" si="31"/>
        <v>211</v>
      </c>
      <c r="AJ96" s="45">
        <f t="shared" si="31"/>
        <v>146</v>
      </c>
      <c r="AK96" s="45">
        <f t="shared" si="31"/>
        <v>194</v>
      </c>
      <c r="AL96" s="190">
        <f>SUM(R96:AK96)</f>
        <v>63072</v>
      </c>
      <c r="AM96" s="203"/>
      <c r="AN96" s="201"/>
    </row>
    <row r="97" spans="4:40" x14ac:dyDescent="0.25">
      <c r="D97" s="218" t="s">
        <v>228</v>
      </c>
      <c r="E97">
        <v>30</v>
      </c>
      <c r="F97" s="45">
        <f t="shared" si="28"/>
        <v>610.15905183732275</v>
      </c>
      <c r="G97" s="45">
        <f t="shared" si="29"/>
        <v>220.83333333333334</v>
      </c>
      <c r="H97" s="140">
        <f t="shared" si="30"/>
        <v>389.32571850398938</v>
      </c>
      <c r="O97" s="180" t="s">
        <v>149</v>
      </c>
      <c r="P97" s="183" t="s">
        <v>231</v>
      </c>
      <c r="Q97" s="100"/>
      <c r="R97" s="165">
        <f>+R96*(1+$D$79)^R$79</f>
        <v>6102.75</v>
      </c>
      <c r="S97" s="165">
        <f t="shared" ref="S97:AK97" si="32">+S96*(1+$D$79)^S$79</f>
        <v>205.81459999999998</v>
      </c>
      <c r="T97" s="165">
        <f t="shared" si="32"/>
        <v>2933.9719949999999</v>
      </c>
      <c r="U97" s="165">
        <f t="shared" si="32"/>
        <v>0</v>
      </c>
      <c r="V97" s="165">
        <f t="shared" si="32"/>
        <v>1314.6168002561999</v>
      </c>
      <c r="W97" s="165">
        <f t="shared" si="32"/>
        <v>8344.0374481446506</v>
      </c>
      <c r="X97" s="165">
        <f t="shared" si="32"/>
        <v>179.56158435203102</v>
      </c>
      <c r="Y97" s="165">
        <f t="shared" si="32"/>
        <v>245.7533957891975</v>
      </c>
      <c r="Z97" s="165">
        <f t="shared" si="32"/>
        <v>3187.5608880948444</v>
      </c>
      <c r="AA97" s="165">
        <f t="shared" si="32"/>
        <v>8231.4878234827465</v>
      </c>
      <c r="AB97" s="165">
        <f t="shared" si="32"/>
        <v>9163.6282241958288</v>
      </c>
      <c r="AC97" s="165">
        <f t="shared" si="32"/>
        <v>300.83554712454367</v>
      </c>
      <c r="AD97" s="165">
        <f t="shared" si="32"/>
        <v>1380.4216906444701</v>
      </c>
      <c r="AE97" s="165">
        <f t="shared" si="32"/>
        <v>293.44240662189151</v>
      </c>
      <c r="AF97" s="165">
        <f t="shared" si="32"/>
        <v>2569.0882699746608</v>
      </c>
      <c r="AG97" s="165">
        <f t="shared" si="32"/>
        <v>39962.004452877096</v>
      </c>
      <c r="AH97" s="165">
        <f t="shared" si="32"/>
        <v>3586.679362029699</v>
      </c>
      <c r="AI97" s="165">
        <f t="shared" si="32"/>
        <v>359.21337592161956</v>
      </c>
      <c r="AJ97" s="165">
        <f t="shared" si="32"/>
        <v>256.01188374925664</v>
      </c>
      <c r="AK97" s="165">
        <f t="shared" si="32"/>
        <v>350.38557952586615</v>
      </c>
      <c r="AL97" s="187">
        <f>SUM(R97:AK97)</f>
        <v>88967.265327784611</v>
      </c>
      <c r="AM97" s="204">
        <f>+AL97/20</f>
        <v>4448.3632663892304</v>
      </c>
      <c r="AN97" s="201"/>
    </row>
    <row r="98" spans="4:40" x14ac:dyDescent="0.25">
      <c r="D98" s="198" t="s">
        <v>249</v>
      </c>
      <c r="E98">
        <v>33</v>
      </c>
      <c r="F98" s="45">
        <f>+I87/E98</f>
        <v>80.041133364772023</v>
      </c>
      <c r="G98" s="45">
        <f t="shared" si="29"/>
        <v>75.757575757575751</v>
      </c>
      <c r="H98" s="140">
        <f t="shared" si="30"/>
        <v>4.283557607196272</v>
      </c>
      <c r="O98" s="176"/>
      <c r="AL98" s="186"/>
      <c r="AM98" s="202"/>
    </row>
    <row r="99" spans="4:40" ht="15.75" thickBot="1" x14ac:dyDescent="0.3">
      <c r="D99" s="219" t="s">
        <v>153</v>
      </c>
      <c r="E99" s="49">
        <v>29</v>
      </c>
      <c r="F99" s="55">
        <f t="shared" si="28"/>
        <v>112.35735401342174</v>
      </c>
      <c r="G99" s="55">
        <f t="shared" si="29"/>
        <v>108.62068965517241</v>
      </c>
      <c r="H99" s="141">
        <f>SUM(H95:H98)</f>
        <v>166.28266382905332</v>
      </c>
      <c r="O99" s="181" t="s">
        <v>233</v>
      </c>
      <c r="P99" t="s">
        <v>230</v>
      </c>
      <c r="R99" s="45">
        <f>+R84+R87+R90+R93+R96</f>
        <v>11108</v>
      </c>
      <c r="S99" s="45">
        <f t="shared" ref="S99:AK99" si="33">+S84+S87+S90+S93+S96</f>
        <v>569</v>
      </c>
      <c r="T99" s="45">
        <f t="shared" si="33"/>
        <v>7573</v>
      </c>
      <c r="U99" s="45">
        <f t="shared" si="33"/>
        <v>2589</v>
      </c>
      <c r="V99" s="45">
        <f t="shared" si="33"/>
        <v>3728</v>
      </c>
      <c r="W99" s="45">
        <f t="shared" si="33"/>
        <v>64190</v>
      </c>
      <c r="X99" s="45">
        <f t="shared" si="33"/>
        <v>3110</v>
      </c>
      <c r="Y99" s="45">
        <f t="shared" si="33"/>
        <v>194</v>
      </c>
      <c r="Z99" s="45">
        <f t="shared" si="33"/>
        <v>6688</v>
      </c>
      <c r="AA99" s="45">
        <f t="shared" si="33"/>
        <v>47044</v>
      </c>
      <c r="AB99" s="45">
        <f t="shared" si="33"/>
        <v>10623</v>
      </c>
      <c r="AC99" s="45">
        <f t="shared" si="33"/>
        <v>2237</v>
      </c>
      <c r="AD99" s="45">
        <f t="shared" si="33"/>
        <v>14425</v>
      </c>
      <c r="AE99" s="45">
        <f t="shared" si="33"/>
        <v>194</v>
      </c>
      <c r="AF99" s="45">
        <f t="shared" si="33"/>
        <v>51269</v>
      </c>
      <c r="AG99" s="45">
        <f t="shared" si="33"/>
        <v>125955</v>
      </c>
      <c r="AH99" s="45">
        <f t="shared" si="33"/>
        <v>8376</v>
      </c>
      <c r="AI99" s="45">
        <f t="shared" si="33"/>
        <v>1862</v>
      </c>
      <c r="AJ99" s="45">
        <f t="shared" si="33"/>
        <v>2735</v>
      </c>
      <c r="AK99" s="45">
        <f t="shared" si="33"/>
        <v>57167</v>
      </c>
      <c r="AL99" s="185">
        <f>SUM(R99:AK99)</f>
        <v>421636</v>
      </c>
      <c r="AM99" s="203"/>
    </row>
    <row r="100" spans="4:40" ht="15.75" thickBot="1" x14ac:dyDescent="0.3">
      <c r="O100" s="182" t="s">
        <v>233</v>
      </c>
      <c r="P100" s="49" t="s">
        <v>231</v>
      </c>
      <c r="Q100" s="49"/>
      <c r="R100" s="55">
        <f>+R85+R88+R91+R94+R97</f>
        <v>11441.24</v>
      </c>
      <c r="S100" s="55">
        <f t="shared" ref="S100:AK100" si="34">+S85+S88+S91+S94+S97</f>
        <v>603.65210000000002</v>
      </c>
      <c r="T100" s="55">
        <f t="shared" si="34"/>
        <v>8275.221571</v>
      </c>
      <c r="U100" s="55">
        <f t="shared" si="34"/>
        <v>2913.94230909</v>
      </c>
      <c r="V100" s="55">
        <f t="shared" si="34"/>
        <v>4321.7737489903993</v>
      </c>
      <c r="W100" s="55">
        <f t="shared" si="34"/>
        <v>76646.216914196499</v>
      </c>
      <c r="X100" s="55">
        <f t="shared" si="34"/>
        <v>3824.9077214713457</v>
      </c>
      <c r="Y100" s="55">
        <f t="shared" si="34"/>
        <v>245.7533957891975</v>
      </c>
      <c r="Z100" s="55">
        <f t="shared" si="34"/>
        <v>8726.3230534499871</v>
      </c>
      <c r="AA100" s="55">
        <f t="shared" si="34"/>
        <v>63223.202149864868</v>
      </c>
      <c r="AB100" s="55">
        <f t="shared" si="34"/>
        <v>14704.716408705784</v>
      </c>
      <c r="AC100" s="55">
        <f t="shared" si="34"/>
        <v>3189.4271038749016</v>
      </c>
      <c r="AD100" s="55">
        <f t="shared" si="34"/>
        <v>21183.598816538812</v>
      </c>
      <c r="AE100" s="55">
        <f t="shared" si="34"/>
        <v>293.44240662189151</v>
      </c>
      <c r="AF100" s="55">
        <f t="shared" si="34"/>
        <v>79875.431481704582</v>
      </c>
      <c r="AG100" s="55">
        <f t="shared" si="34"/>
        <v>202120.79953668773</v>
      </c>
      <c r="AH100" s="55">
        <f t="shared" si="34"/>
        <v>13844.251767908183</v>
      </c>
      <c r="AI100" s="55">
        <f t="shared" si="34"/>
        <v>3169.9303600286999</v>
      </c>
      <c r="AJ100" s="55">
        <f t="shared" si="34"/>
        <v>4795.8390551658695</v>
      </c>
      <c r="AK100" s="55">
        <f t="shared" si="34"/>
        <v>103249.96095234636</v>
      </c>
      <c r="AL100" s="188">
        <f>SUM(R100:AK100)</f>
        <v>626649.63085343514</v>
      </c>
      <c r="AM100" s="50">
        <f>+AL100/20</f>
        <v>31332.481542671758</v>
      </c>
    </row>
    <row r="101" spans="4:40" ht="15.75" thickBot="1" x14ac:dyDescent="0.3">
      <c r="D101" s="216" t="s">
        <v>254</v>
      </c>
    </row>
    <row r="102" spans="4:40" x14ac:dyDescent="0.25">
      <c r="D102" s="222"/>
      <c r="E102" s="193"/>
      <c r="F102" s="223" t="s">
        <v>247</v>
      </c>
      <c r="G102" s="166" t="s">
        <v>227</v>
      </c>
      <c r="H102" s="209" t="s">
        <v>155</v>
      </c>
      <c r="J102" s="224" t="s">
        <v>256</v>
      </c>
    </row>
    <row r="103" spans="4:40" x14ac:dyDescent="0.25">
      <c r="D103" s="115" t="s">
        <v>251</v>
      </c>
      <c r="F103" s="45">
        <f>+F95+F96+F97+F98</f>
        <v>736.64589434853383</v>
      </c>
      <c r="G103" s="45">
        <f>+G95+G96+G97+G98</f>
        <v>570.36323051948057</v>
      </c>
      <c r="H103" s="140">
        <f>+F103-G103</f>
        <v>166.28266382905326</v>
      </c>
      <c r="J103" s="225">
        <f>+H103/12</f>
        <v>13.856888652421105</v>
      </c>
      <c r="M103" s="45"/>
    </row>
    <row r="104" spans="4:40" x14ac:dyDescent="0.25">
      <c r="D104" s="115" t="s">
        <v>253</v>
      </c>
      <c r="F104" s="45">
        <f>+F95+F98</f>
        <v>126.48684251121108</v>
      </c>
      <c r="G104" s="45">
        <f>+G95+G98</f>
        <v>322.1861471861472</v>
      </c>
      <c r="H104" s="140">
        <f t="shared" ref="H104:H105" si="35">+F104-G104</f>
        <v>-195.69930467493612</v>
      </c>
      <c r="J104" s="225">
        <f t="shared" ref="J104:J105" si="36">+H104/12</f>
        <v>-16.308275389578011</v>
      </c>
      <c r="M104" s="45"/>
    </row>
    <row r="105" spans="4:40" ht="15.75" thickBot="1" x14ac:dyDescent="0.3">
      <c r="D105" s="220" t="s">
        <v>252</v>
      </c>
      <c r="E105" s="49"/>
      <c r="F105" s="55">
        <f>+F95+F96</f>
        <v>46.445709146439064</v>
      </c>
      <c r="G105" s="55">
        <f>+G95+G96</f>
        <v>273.77232142857144</v>
      </c>
      <c r="H105" s="141">
        <f t="shared" si="35"/>
        <v>-227.32661228213237</v>
      </c>
      <c r="J105" s="226">
        <f t="shared" si="36"/>
        <v>-18.943884356844364</v>
      </c>
      <c r="M105" s="45"/>
    </row>
    <row r="106" spans="4:40" x14ac:dyDescent="0.25">
      <c r="D106" s="227"/>
      <c r="M106" s="45"/>
    </row>
    <row r="107" spans="4:40" x14ac:dyDescent="0.25">
      <c r="D107" s="229" t="s">
        <v>257</v>
      </c>
      <c r="M107" s="45">
        <f>3978/35</f>
        <v>113.65714285714286</v>
      </c>
      <c r="N107" t="s">
        <v>259</v>
      </c>
    </row>
    <row r="108" spans="4:40" x14ac:dyDescent="0.25">
      <c r="D108" s="229" t="s">
        <v>258</v>
      </c>
    </row>
  </sheetData>
  <sheetProtection formatCells="0" formatColumns="0" formatRows="0" insertColumns="0" insertRows="0" insertHyperlinks="0" deleteColumns="0" deleteRows="0" sort="0" autoFilter="0" pivotTables="0"/>
  <mergeCells count="145">
    <mergeCell ref="B75:E75"/>
    <mergeCell ref="AO75:AP75"/>
    <mergeCell ref="B76:E76"/>
    <mergeCell ref="AO76:AP76"/>
    <mergeCell ref="K77:Q77"/>
    <mergeCell ref="B72:E72"/>
    <mergeCell ref="AO72:AP72"/>
    <mergeCell ref="B73:E73"/>
    <mergeCell ref="AO73:AP73"/>
    <mergeCell ref="B74:E74"/>
    <mergeCell ref="AO74:AP74"/>
    <mergeCell ref="B69:E69"/>
    <mergeCell ref="AO69:AP69"/>
    <mergeCell ref="B70:E70"/>
    <mergeCell ref="AO70:AP70"/>
    <mergeCell ref="B71:E71"/>
    <mergeCell ref="AO71:AP71"/>
    <mergeCell ref="B66:E66"/>
    <mergeCell ref="AO66:AP66"/>
    <mergeCell ref="B67:E67"/>
    <mergeCell ref="AO67:AP67"/>
    <mergeCell ref="B68:E68"/>
    <mergeCell ref="AO68:AP68"/>
    <mergeCell ref="B63:E63"/>
    <mergeCell ref="AO63:AP63"/>
    <mergeCell ref="B64:E64"/>
    <mergeCell ref="AO64:AP64"/>
    <mergeCell ref="B65:E65"/>
    <mergeCell ref="AO65:AP65"/>
    <mergeCell ref="B60:E60"/>
    <mergeCell ref="AO60:AP60"/>
    <mergeCell ref="B61:E61"/>
    <mergeCell ref="AO61:AP61"/>
    <mergeCell ref="B62:E62"/>
    <mergeCell ref="AO62:AP62"/>
    <mergeCell ref="B57:E57"/>
    <mergeCell ref="AO57:AP57"/>
    <mergeCell ref="B58:E58"/>
    <mergeCell ref="AO58:AP58"/>
    <mergeCell ref="B59:E59"/>
    <mergeCell ref="AO59:AP59"/>
    <mergeCell ref="B54:E54"/>
    <mergeCell ref="AO54:AP54"/>
    <mergeCell ref="B55:E55"/>
    <mergeCell ref="AO55:AP55"/>
    <mergeCell ref="B56:E56"/>
    <mergeCell ref="AO56:AP56"/>
    <mergeCell ref="B51:E51"/>
    <mergeCell ref="AO51:AP51"/>
    <mergeCell ref="B52:E52"/>
    <mergeCell ref="AO52:AP52"/>
    <mergeCell ref="B53:E53"/>
    <mergeCell ref="AO53:AP53"/>
    <mergeCell ref="B48:E48"/>
    <mergeCell ref="AO48:AP48"/>
    <mergeCell ref="B49:E49"/>
    <mergeCell ref="AO49:AP49"/>
    <mergeCell ref="B50:E50"/>
    <mergeCell ref="AO50:AP50"/>
    <mergeCell ref="B45:E45"/>
    <mergeCell ref="AO45:AP45"/>
    <mergeCell ref="B46:E46"/>
    <mergeCell ref="AO46:AP46"/>
    <mergeCell ref="B47:E47"/>
    <mergeCell ref="AO47:AP47"/>
    <mergeCell ref="B42:E42"/>
    <mergeCell ref="AO42:AP42"/>
    <mergeCell ref="B43:E43"/>
    <mergeCell ref="AO43:AP43"/>
    <mergeCell ref="B44:E44"/>
    <mergeCell ref="AO44:AP44"/>
    <mergeCell ref="B39:E39"/>
    <mergeCell ref="AO39:AP39"/>
    <mergeCell ref="B40:E40"/>
    <mergeCell ref="AO40:AP40"/>
    <mergeCell ref="B41:E41"/>
    <mergeCell ref="AO41:AP41"/>
    <mergeCell ref="B36:E36"/>
    <mergeCell ref="AO36:AP36"/>
    <mergeCell ref="B37:E37"/>
    <mergeCell ref="AO37:AP37"/>
    <mergeCell ref="B38:E38"/>
    <mergeCell ref="AO38:AP38"/>
    <mergeCell ref="B33:E33"/>
    <mergeCell ref="AO33:AP33"/>
    <mergeCell ref="B34:E34"/>
    <mergeCell ref="AO34:AP34"/>
    <mergeCell ref="B35:E35"/>
    <mergeCell ref="AO35:AP35"/>
    <mergeCell ref="B30:E30"/>
    <mergeCell ref="AO30:AP30"/>
    <mergeCell ref="B31:E31"/>
    <mergeCell ref="AO31:AP31"/>
    <mergeCell ref="B32:E32"/>
    <mergeCell ref="AO32:AP32"/>
    <mergeCell ref="B27:E27"/>
    <mergeCell ref="AO27:AP27"/>
    <mergeCell ref="B28:E28"/>
    <mergeCell ref="AO28:AP28"/>
    <mergeCell ref="B29:E29"/>
    <mergeCell ref="AO29:AP29"/>
    <mergeCell ref="B24:E24"/>
    <mergeCell ref="AO24:AP24"/>
    <mergeCell ref="B25:E25"/>
    <mergeCell ref="AO25:AP25"/>
    <mergeCell ref="B26:E26"/>
    <mergeCell ref="AO26:AP26"/>
    <mergeCell ref="B21:E21"/>
    <mergeCell ref="AO21:AP21"/>
    <mergeCell ref="B22:E22"/>
    <mergeCell ref="AO22:AP22"/>
    <mergeCell ref="B23:E23"/>
    <mergeCell ref="AO23:AP23"/>
    <mergeCell ref="B18:E18"/>
    <mergeCell ref="AO18:AP18"/>
    <mergeCell ref="B19:E19"/>
    <mergeCell ref="AO19:AP19"/>
    <mergeCell ref="B20:E20"/>
    <mergeCell ref="AO20:AP20"/>
    <mergeCell ref="B15:E15"/>
    <mergeCell ref="AO15:AP15"/>
    <mergeCell ref="B16:E16"/>
    <mergeCell ref="AO16:AP16"/>
    <mergeCell ref="B17:E17"/>
    <mergeCell ref="AO17:AP17"/>
    <mergeCell ref="AL13:AN13"/>
    <mergeCell ref="AO13:AP13"/>
    <mergeCell ref="AO14:AP14"/>
    <mergeCell ref="B13:E13"/>
    <mergeCell ref="B14:E14"/>
    <mergeCell ref="R13:AK13"/>
    <mergeCell ref="G13:Q13"/>
    <mergeCell ref="K8:N8"/>
    <mergeCell ref="K9:N9"/>
    <mergeCell ref="K10:N10"/>
    <mergeCell ref="K11:N11"/>
    <mergeCell ref="Q5:U5"/>
    <mergeCell ref="Q6:U6"/>
    <mergeCell ref="Q7:U7"/>
    <mergeCell ref="Q8:U8"/>
    <mergeCell ref="B1:S1"/>
    <mergeCell ref="K4:N4"/>
    <mergeCell ref="K5:N5"/>
    <mergeCell ref="K6:N6"/>
    <mergeCell ref="K7:N7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81F73-B03B-4962-8354-45A3931DA2C6}">
  <dimension ref="A1:N45"/>
  <sheetViews>
    <sheetView zoomScale="67" workbookViewId="0">
      <selection activeCell="F40" sqref="F40"/>
    </sheetView>
  </sheetViews>
  <sheetFormatPr defaultRowHeight="15" x14ac:dyDescent="0.25"/>
  <cols>
    <col min="1" max="1" width="12.140625" style="75" bestFit="1" customWidth="1"/>
    <col min="2" max="2" width="44.140625" style="75" bestFit="1" customWidth="1"/>
    <col min="3" max="3" width="51.85546875" style="75" customWidth="1"/>
    <col min="4" max="4" width="11.7109375" style="84" customWidth="1"/>
    <col min="5" max="5" width="13.28515625" style="84" customWidth="1"/>
    <col min="6" max="6" width="35.7109375" style="84" customWidth="1"/>
    <col min="7" max="7" width="6.28515625" style="84" customWidth="1"/>
    <col min="8" max="8" width="21.7109375" style="84" customWidth="1"/>
    <col min="9" max="10" width="12.7109375" style="84" customWidth="1"/>
    <col min="11" max="11" width="9.140625" style="45"/>
    <col min="12" max="12" width="10.5703125" style="45" bestFit="1" customWidth="1"/>
    <col min="13" max="13" width="3.42578125" customWidth="1"/>
    <col min="14" max="14" width="9.85546875" customWidth="1"/>
  </cols>
  <sheetData>
    <row r="1" spans="1:11" ht="19.5" x14ac:dyDescent="0.25">
      <c r="A1" s="73"/>
      <c r="B1" s="73"/>
      <c r="C1" s="73"/>
      <c r="D1" s="80"/>
      <c r="E1" s="80"/>
      <c r="F1" s="80"/>
      <c r="G1" s="80"/>
      <c r="I1" s="81"/>
    </row>
    <row r="2" spans="1:11" x14ac:dyDescent="0.25">
      <c r="A2" s="104" t="s">
        <v>165</v>
      </c>
      <c r="B2" s="105" t="s">
        <v>166</v>
      </c>
      <c r="C2" s="79"/>
      <c r="D2" s="82" t="s">
        <v>167</v>
      </c>
      <c r="E2" s="82" t="s">
        <v>168</v>
      </c>
      <c r="F2" s="83" t="s">
        <v>210</v>
      </c>
      <c r="G2" s="102"/>
      <c r="H2" s="170" t="s">
        <v>229</v>
      </c>
      <c r="I2" s="87" t="s">
        <v>169</v>
      </c>
      <c r="J2" s="88" t="s">
        <v>170</v>
      </c>
    </row>
    <row r="3" spans="1:11" x14ac:dyDescent="0.25">
      <c r="A3" s="76">
        <v>120</v>
      </c>
      <c r="B3" s="76" t="s">
        <v>171</v>
      </c>
      <c r="C3" s="76"/>
      <c r="D3" s="89">
        <v>0</v>
      </c>
      <c r="E3" s="89">
        <v>2500</v>
      </c>
      <c r="F3" s="89" t="s">
        <v>172</v>
      </c>
      <c r="G3" s="103"/>
      <c r="H3" s="90" t="s">
        <v>150</v>
      </c>
      <c r="I3" s="89">
        <v>500</v>
      </c>
      <c r="J3" s="84">
        <f>-D3+E3+I3</f>
        <v>3000</v>
      </c>
    </row>
    <row r="4" spans="1:11" x14ac:dyDescent="0.25">
      <c r="A4" s="75">
        <v>350</v>
      </c>
      <c r="B4" s="77" t="s">
        <v>173</v>
      </c>
      <c r="C4" s="77"/>
      <c r="D4" s="84">
        <v>0</v>
      </c>
      <c r="E4" s="84">
        <v>2500</v>
      </c>
      <c r="F4" s="84" t="s">
        <v>172</v>
      </c>
      <c r="G4" s="103"/>
      <c r="H4" s="91" t="s">
        <v>157</v>
      </c>
      <c r="I4" s="84">
        <v>125</v>
      </c>
      <c r="J4" s="84">
        <f t="shared" ref="J4:J27" si="0">-D4+E4+I4</f>
        <v>2625</v>
      </c>
      <c r="K4" s="92"/>
    </row>
    <row r="5" spans="1:11" x14ac:dyDescent="0.25">
      <c r="A5" s="75">
        <v>405</v>
      </c>
      <c r="B5" s="77" t="s">
        <v>174</v>
      </c>
      <c r="C5" s="77"/>
      <c r="D5" s="84">
        <v>0</v>
      </c>
      <c r="E5" s="84">
        <v>1500</v>
      </c>
      <c r="F5" s="84" t="s">
        <v>172</v>
      </c>
      <c r="G5" s="103"/>
      <c r="H5" s="91" t="s">
        <v>157</v>
      </c>
      <c r="I5" s="84">
        <v>250</v>
      </c>
      <c r="J5" s="84">
        <f t="shared" si="0"/>
        <v>1750</v>
      </c>
    </row>
    <row r="6" spans="1:11" x14ac:dyDescent="0.25">
      <c r="A6" s="75">
        <v>170</v>
      </c>
      <c r="B6" s="75" t="s">
        <v>175</v>
      </c>
      <c r="D6" s="84">
        <v>0</v>
      </c>
      <c r="E6" s="84">
        <v>1000</v>
      </c>
      <c r="F6" s="84" t="s">
        <v>176</v>
      </c>
      <c r="G6" s="103"/>
      <c r="H6" s="91" t="s">
        <v>157</v>
      </c>
      <c r="I6" s="84">
        <v>125</v>
      </c>
      <c r="J6" s="84">
        <f t="shared" si="0"/>
        <v>1125</v>
      </c>
    </row>
    <row r="7" spans="1:11" x14ac:dyDescent="0.25">
      <c r="A7" s="75">
        <v>530</v>
      </c>
      <c r="B7" s="75" t="s">
        <v>177</v>
      </c>
      <c r="D7" s="84">
        <v>0</v>
      </c>
      <c r="E7" s="84">
        <v>18000</v>
      </c>
      <c r="F7" s="84" t="s">
        <v>176</v>
      </c>
      <c r="G7" s="103"/>
      <c r="H7" s="91" t="s">
        <v>157</v>
      </c>
      <c r="I7" s="84">
        <v>4000</v>
      </c>
      <c r="J7" s="84">
        <f t="shared" si="0"/>
        <v>22000</v>
      </c>
    </row>
    <row r="8" spans="1:11" x14ac:dyDescent="0.25">
      <c r="A8" s="75">
        <v>540</v>
      </c>
      <c r="B8" s="75" t="s">
        <v>178</v>
      </c>
      <c r="D8" s="84">
        <v>0</v>
      </c>
      <c r="E8" s="84">
        <v>5000</v>
      </c>
      <c r="F8" s="84" t="s">
        <v>176</v>
      </c>
      <c r="G8" s="103"/>
      <c r="H8" s="91" t="s">
        <v>157</v>
      </c>
      <c r="I8" s="84">
        <v>1000</v>
      </c>
      <c r="J8" s="84">
        <f t="shared" si="0"/>
        <v>6000</v>
      </c>
    </row>
    <row r="9" spans="1:11" x14ac:dyDescent="0.25">
      <c r="A9" s="75">
        <v>550</v>
      </c>
      <c r="B9" s="75" t="s">
        <v>179</v>
      </c>
      <c r="D9" s="84">
        <v>0</v>
      </c>
      <c r="E9" s="84">
        <v>5500</v>
      </c>
      <c r="F9" s="84" t="s">
        <v>176</v>
      </c>
      <c r="G9" s="103"/>
      <c r="H9" s="91" t="s">
        <v>157</v>
      </c>
      <c r="I9" s="84">
        <v>1500</v>
      </c>
      <c r="J9" s="84">
        <f t="shared" si="0"/>
        <v>7000</v>
      </c>
    </row>
    <row r="10" spans="1:11" x14ac:dyDescent="0.25">
      <c r="A10" s="75">
        <v>101</v>
      </c>
      <c r="B10" s="75" t="s">
        <v>180</v>
      </c>
      <c r="D10" s="84">
        <v>0</v>
      </c>
      <c r="E10" s="84">
        <v>3600</v>
      </c>
      <c r="F10" s="84" t="s">
        <v>181</v>
      </c>
      <c r="G10" s="103"/>
      <c r="H10" s="90" t="s">
        <v>150</v>
      </c>
      <c r="I10" s="84">
        <v>500</v>
      </c>
      <c r="J10" s="84">
        <f t="shared" si="0"/>
        <v>4100</v>
      </c>
    </row>
    <row r="11" spans="1:11" x14ac:dyDescent="0.25">
      <c r="A11" s="75">
        <v>102</v>
      </c>
      <c r="B11" s="75" t="s">
        <v>182</v>
      </c>
      <c r="D11" s="84">
        <v>0</v>
      </c>
      <c r="E11" s="84">
        <v>3500</v>
      </c>
      <c r="F11" s="84" t="s">
        <v>181</v>
      </c>
      <c r="G11" s="103"/>
      <c r="H11" s="90" t="s">
        <v>150</v>
      </c>
      <c r="I11" s="84">
        <v>250</v>
      </c>
      <c r="J11" s="84">
        <f t="shared" si="0"/>
        <v>3750</v>
      </c>
    </row>
    <row r="12" spans="1:11" x14ac:dyDescent="0.25">
      <c r="A12" s="75">
        <v>160</v>
      </c>
      <c r="B12" s="75" t="s">
        <v>183</v>
      </c>
      <c r="D12" s="84">
        <v>0</v>
      </c>
      <c r="E12" s="84">
        <v>2500</v>
      </c>
      <c r="F12" s="84" t="s">
        <v>181</v>
      </c>
      <c r="G12" s="103"/>
      <c r="H12" s="90" t="s">
        <v>150</v>
      </c>
      <c r="I12" s="84">
        <v>500</v>
      </c>
      <c r="J12" s="84">
        <f t="shared" si="0"/>
        <v>3000</v>
      </c>
    </row>
    <row r="13" spans="1:11" x14ac:dyDescent="0.25">
      <c r="A13" s="75">
        <v>200</v>
      </c>
      <c r="B13" s="77" t="s">
        <v>184</v>
      </c>
      <c r="C13" s="77"/>
      <c r="D13" s="84">
        <v>0</v>
      </c>
      <c r="E13" s="84">
        <v>3000</v>
      </c>
      <c r="F13" s="84" t="s">
        <v>181</v>
      </c>
      <c r="G13" s="103"/>
      <c r="H13" s="91" t="s">
        <v>157</v>
      </c>
      <c r="I13" s="84">
        <v>500</v>
      </c>
      <c r="J13" s="84">
        <f t="shared" si="0"/>
        <v>3500</v>
      </c>
    </row>
    <row r="14" spans="1:11" x14ac:dyDescent="0.25">
      <c r="A14" s="75">
        <v>220</v>
      </c>
      <c r="B14" s="75" t="s">
        <v>185</v>
      </c>
      <c r="D14" s="84">
        <v>0</v>
      </c>
      <c r="E14" s="84">
        <v>2500</v>
      </c>
      <c r="F14" s="84" t="s">
        <v>181</v>
      </c>
      <c r="G14" s="103"/>
      <c r="H14" s="90" t="s">
        <v>150</v>
      </c>
      <c r="I14" s="84">
        <v>250</v>
      </c>
      <c r="J14" s="84">
        <f t="shared" si="0"/>
        <v>2750</v>
      </c>
    </row>
    <row r="15" spans="1:11" x14ac:dyDescent="0.25">
      <c r="A15" s="75">
        <v>250</v>
      </c>
      <c r="B15" s="75" t="s">
        <v>186</v>
      </c>
      <c r="D15" s="84">
        <v>0</v>
      </c>
      <c r="E15" s="84">
        <v>10000</v>
      </c>
      <c r="F15" s="84" t="s">
        <v>181</v>
      </c>
      <c r="G15" s="103"/>
      <c r="H15" s="90" t="s">
        <v>150</v>
      </c>
      <c r="I15" s="84">
        <v>2000</v>
      </c>
      <c r="J15" s="84">
        <f t="shared" si="0"/>
        <v>12000</v>
      </c>
    </row>
    <row r="16" spans="1:11" x14ac:dyDescent="0.25">
      <c r="A16" s="75">
        <v>505</v>
      </c>
      <c r="B16" s="75" t="s">
        <v>187</v>
      </c>
      <c r="D16" s="84">
        <v>1824.61</v>
      </c>
      <c r="E16" s="84">
        <v>0</v>
      </c>
      <c r="F16" s="84" t="s">
        <v>181</v>
      </c>
      <c r="G16" s="103"/>
      <c r="H16" s="90" t="s">
        <v>150</v>
      </c>
      <c r="I16" s="84">
        <v>1000</v>
      </c>
      <c r="J16" s="84">
        <f t="shared" si="0"/>
        <v>-824.6099999999999</v>
      </c>
    </row>
    <row r="17" spans="1:14" x14ac:dyDescent="0.25">
      <c r="A17" s="75">
        <v>510</v>
      </c>
      <c r="B17" s="75" t="s">
        <v>188</v>
      </c>
      <c r="D17" s="84">
        <v>0</v>
      </c>
      <c r="E17" s="84">
        <v>1750</v>
      </c>
      <c r="F17" s="84" t="s">
        <v>181</v>
      </c>
      <c r="G17" s="103"/>
      <c r="H17" s="90" t="s">
        <v>150</v>
      </c>
      <c r="I17" s="84">
        <v>250</v>
      </c>
      <c r="J17" s="84">
        <f t="shared" si="0"/>
        <v>2000</v>
      </c>
    </row>
    <row r="18" spans="1:14" x14ac:dyDescent="0.25">
      <c r="A18" s="75">
        <v>525</v>
      </c>
      <c r="B18" s="75" t="s">
        <v>189</v>
      </c>
      <c r="D18" s="84">
        <v>0</v>
      </c>
      <c r="E18" s="84">
        <v>1000</v>
      </c>
      <c r="F18" s="84" t="s">
        <v>181</v>
      </c>
      <c r="G18" s="103"/>
      <c r="H18" s="90" t="s">
        <v>150</v>
      </c>
      <c r="I18" s="84">
        <v>125</v>
      </c>
      <c r="J18" s="84">
        <f t="shared" si="0"/>
        <v>1125</v>
      </c>
    </row>
    <row r="19" spans="1:14" x14ac:dyDescent="0.25">
      <c r="A19" s="75">
        <v>599</v>
      </c>
      <c r="B19" s="77" t="s">
        <v>190</v>
      </c>
      <c r="C19" s="77"/>
      <c r="D19" s="84">
        <v>0</v>
      </c>
      <c r="E19" s="84">
        <v>2500</v>
      </c>
      <c r="F19" s="84" t="s">
        <v>181</v>
      </c>
      <c r="G19" s="103"/>
      <c r="H19" s="90" t="s">
        <v>150</v>
      </c>
      <c r="I19" s="84">
        <v>250</v>
      </c>
      <c r="J19" s="84">
        <f t="shared" si="0"/>
        <v>2750</v>
      </c>
    </row>
    <row r="20" spans="1:14" x14ac:dyDescent="0.25">
      <c r="A20" s="75">
        <v>800</v>
      </c>
      <c r="B20" s="75" t="s">
        <v>191</v>
      </c>
      <c r="D20" s="84">
        <v>0</v>
      </c>
      <c r="E20" s="84">
        <v>15401.41</v>
      </c>
      <c r="F20" s="84" t="s">
        <v>181</v>
      </c>
      <c r="G20" s="103"/>
      <c r="H20" s="90" t="s">
        <v>150</v>
      </c>
      <c r="I20" s="84">
        <v>3000</v>
      </c>
      <c r="J20" s="84">
        <f t="shared" si="0"/>
        <v>18401.41</v>
      </c>
      <c r="K20" s="236" t="s">
        <v>260</v>
      </c>
    </row>
    <row r="21" spans="1:14" x14ac:dyDescent="0.25">
      <c r="A21" s="75">
        <v>230</v>
      </c>
      <c r="B21" s="77" t="s">
        <v>192</v>
      </c>
      <c r="C21" s="77"/>
      <c r="D21" s="84">
        <v>3386.01</v>
      </c>
      <c r="E21" s="84">
        <v>0</v>
      </c>
      <c r="F21" s="84" t="s">
        <v>193</v>
      </c>
      <c r="G21" s="103"/>
      <c r="H21" s="93" t="s">
        <v>158</v>
      </c>
      <c r="I21" s="84">
        <v>2500</v>
      </c>
      <c r="J21" s="84">
        <f t="shared" si="0"/>
        <v>-886.01000000000022</v>
      </c>
    </row>
    <row r="22" spans="1:14" x14ac:dyDescent="0.25">
      <c r="A22" s="75">
        <v>333</v>
      </c>
      <c r="B22" s="75" t="s">
        <v>194</v>
      </c>
      <c r="D22" s="84">
        <v>0</v>
      </c>
      <c r="E22" s="84">
        <v>3500</v>
      </c>
      <c r="F22" s="84" t="s">
        <v>195</v>
      </c>
      <c r="G22" s="103"/>
      <c r="H22" s="94" t="s">
        <v>149</v>
      </c>
      <c r="I22" s="84">
        <v>500</v>
      </c>
      <c r="J22" s="84">
        <f t="shared" si="0"/>
        <v>4000</v>
      </c>
    </row>
    <row r="23" spans="1:14" x14ac:dyDescent="0.25">
      <c r="A23" s="75">
        <v>520</v>
      </c>
      <c r="B23" s="75" t="s">
        <v>196</v>
      </c>
      <c r="D23" s="84">
        <v>0</v>
      </c>
      <c r="E23" s="84">
        <v>900</v>
      </c>
      <c r="F23" s="84" t="s">
        <v>195</v>
      </c>
      <c r="G23" s="103"/>
      <c r="H23" s="94" t="s">
        <v>149</v>
      </c>
      <c r="I23" s="84">
        <v>150</v>
      </c>
      <c r="J23" s="84">
        <f t="shared" si="0"/>
        <v>1050</v>
      </c>
    </row>
    <row r="24" spans="1:14" x14ac:dyDescent="0.25">
      <c r="A24" s="75">
        <v>536</v>
      </c>
      <c r="B24" s="75" t="s">
        <v>197</v>
      </c>
      <c r="D24" s="84">
        <v>0</v>
      </c>
      <c r="E24" s="84">
        <v>1250</v>
      </c>
      <c r="F24" s="84" t="s">
        <v>195</v>
      </c>
      <c r="G24" s="103"/>
      <c r="H24" s="94" t="s">
        <v>149</v>
      </c>
      <c r="I24" s="84">
        <v>250</v>
      </c>
      <c r="J24" s="84">
        <f t="shared" si="0"/>
        <v>1500</v>
      </c>
    </row>
    <row r="25" spans="1:14" x14ac:dyDescent="0.25">
      <c r="A25" s="75">
        <v>710</v>
      </c>
      <c r="B25" s="75" t="s">
        <v>198</v>
      </c>
      <c r="D25" s="84">
        <v>0</v>
      </c>
      <c r="E25" s="84">
        <v>7500</v>
      </c>
      <c r="F25" s="84" t="s">
        <v>195</v>
      </c>
      <c r="G25" s="103"/>
      <c r="H25" s="94" t="s">
        <v>149</v>
      </c>
      <c r="I25" s="84">
        <v>1500</v>
      </c>
      <c r="J25" s="84">
        <f t="shared" si="0"/>
        <v>9000</v>
      </c>
    </row>
    <row r="26" spans="1:14" x14ac:dyDescent="0.25">
      <c r="A26" s="75">
        <v>720</v>
      </c>
      <c r="B26" s="75" t="s">
        <v>199</v>
      </c>
      <c r="D26" s="84">
        <v>0</v>
      </c>
      <c r="E26" s="84">
        <v>3000</v>
      </c>
      <c r="F26" s="84" t="s">
        <v>195</v>
      </c>
      <c r="G26" s="103"/>
      <c r="H26" s="94" t="s">
        <v>149</v>
      </c>
      <c r="I26" s="84">
        <v>250</v>
      </c>
      <c r="J26" s="84">
        <f t="shared" si="0"/>
        <v>3250</v>
      </c>
    </row>
    <row r="27" spans="1:14" x14ac:dyDescent="0.25">
      <c r="A27" s="75">
        <v>730</v>
      </c>
      <c r="B27" s="75" t="s">
        <v>200</v>
      </c>
      <c r="C27" s="74"/>
      <c r="D27" s="81">
        <v>0</v>
      </c>
      <c r="E27" s="81">
        <v>4500</v>
      </c>
      <c r="F27" s="84" t="s">
        <v>195</v>
      </c>
      <c r="G27" s="103"/>
      <c r="H27" s="94" t="s">
        <v>149</v>
      </c>
      <c r="I27" s="81">
        <v>500</v>
      </c>
      <c r="J27" s="95">
        <f t="shared" si="0"/>
        <v>5000</v>
      </c>
    </row>
    <row r="28" spans="1:14" ht="15.75" thickBot="1" x14ac:dyDescent="0.3">
      <c r="C28" s="86"/>
      <c r="D28" s="96">
        <f>SUM(D3:D27)</f>
        <v>5210.62</v>
      </c>
      <c r="E28" s="96">
        <f>SUM(E3:E27)</f>
        <v>102401.41</v>
      </c>
      <c r="I28" s="96">
        <f>SUM(I3:I27)</f>
        <v>21775</v>
      </c>
      <c r="J28" s="96">
        <f>SUM(J3:J27)</f>
        <v>118965.79000000001</v>
      </c>
    </row>
    <row r="29" spans="1:14" ht="15.75" thickTop="1" x14ac:dyDescent="0.25">
      <c r="C29" s="76"/>
      <c r="D29" s="89"/>
      <c r="E29" s="89"/>
      <c r="I29" s="89"/>
      <c r="J29" s="101">
        <f>-D28+E28+I28</f>
        <v>118965.79000000001</v>
      </c>
    </row>
    <row r="30" spans="1:14" ht="21.75" thickBot="1" x14ac:dyDescent="0.4">
      <c r="C30" s="76"/>
      <c r="D30" s="89"/>
      <c r="E30" s="89"/>
      <c r="G30" s="81"/>
      <c r="H30" s="81"/>
      <c r="I30" s="127"/>
      <c r="J30" s="171"/>
      <c r="L30" s="173"/>
    </row>
    <row r="31" spans="1:14" ht="21" thickBot="1" x14ac:dyDescent="0.35">
      <c r="A31" s="74"/>
      <c r="B31" s="108" t="s">
        <v>216</v>
      </c>
      <c r="C31" s="74"/>
      <c r="D31" s="81"/>
      <c r="E31" s="81"/>
      <c r="F31" s="125"/>
      <c r="G31" s="139" t="s">
        <v>219</v>
      </c>
      <c r="H31" s="138"/>
      <c r="I31" s="155" t="s">
        <v>217</v>
      </c>
      <c r="J31" s="156" t="s">
        <v>218</v>
      </c>
      <c r="L31" s="174"/>
      <c r="N31" s="174"/>
    </row>
    <row r="32" spans="1:14" x14ac:dyDescent="0.25">
      <c r="A32" s="110" t="s">
        <v>150</v>
      </c>
      <c r="B32" s="111" t="s">
        <v>201</v>
      </c>
      <c r="C32" s="112" t="s">
        <v>202</v>
      </c>
      <c r="D32" s="113"/>
      <c r="E32" s="114">
        <f>+E10+E11+E12+E13+E14+E15+E16+E17+E18+E19+E20-D16</f>
        <v>43926.8</v>
      </c>
      <c r="F32" s="126"/>
      <c r="G32" s="129" t="s">
        <v>150</v>
      </c>
      <c r="H32" s="89" t="s">
        <v>213</v>
      </c>
      <c r="I32" s="89">
        <f>+I10+I11+I12+I13+I14+I15+I16+I17+I18+I19+I20</f>
        <v>8625</v>
      </c>
      <c r="J32" s="137">
        <f>-D32+E32+I32-1543</f>
        <v>51008.800000000003</v>
      </c>
      <c r="K32" s="236" t="s">
        <v>260</v>
      </c>
      <c r="N32" s="45"/>
    </row>
    <row r="33" spans="1:14" x14ac:dyDescent="0.25">
      <c r="A33" s="115" t="s">
        <v>156</v>
      </c>
      <c r="B33" s="78" t="s">
        <v>203</v>
      </c>
      <c r="C33" s="85" t="s">
        <v>204</v>
      </c>
      <c r="D33" s="97"/>
      <c r="E33" s="235">
        <f>+E3+E4+E5</f>
        <v>6500</v>
      </c>
      <c r="F33" s="126"/>
      <c r="G33" s="99" t="s">
        <v>156</v>
      </c>
      <c r="H33" s="84" t="s">
        <v>212</v>
      </c>
      <c r="I33" s="84">
        <f>+I3+I4+I5</f>
        <v>875</v>
      </c>
      <c r="J33" s="130">
        <f t="shared" ref="J33:J36" si="1">-D33+E33+I33</f>
        <v>7375</v>
      </c>
      <c r="N33" s="45"/>
    </row>
    <row r="34" spans="1:14" x14ac:dyDescent="0.25">
      <c r="A34" s="117" t="s">
        <v>157</v>
      </c>
      <c r="B34" s="78" t="s">
        <v>205</v>
      </c>
      <c r="C34" s="85" t="s">
        <v>206</v>
      </c>
      <c r="D34" s="97"/>
      <c r="E34" s="116">
        <f>+E6+E7+E8+E9</f>
        <v>29500</v>
      </c>
      <c r="F34" s="126"/>
      <c r="G34" s="58" t="s">
        <v>157</v>
      </c>
      <c r="H34" s="84" t="s">
        <v>214</v>
      </c>
      <c r="I34" s="84">
        <f>+I6+I7+I8+I9</f>
        <v>6625</v>
      </c>
      <c r="J34" s="130">
        <f t="shared" si="1"/>
        <v>36125</v>
      </c>
      <c r="N34" s="45"/>
    </row>
    <row r="35" spans="1:14" x14ac:dyDescent="0.25">
      <c r="A35" s="118" t="s">
        <v>158</v>
      </c>
      <c r="B35" s="78" t="s">
        <v>207</v>
      </c>
      <c r="C35" s="85" t="s">
        <v>211</v>
      </c>
      <c r="D35" s="97"/>
      <c r="E35" s="116">
        <f>-D21</f>
        <v>-3386.01</v>
      </c>
      <c r="F35" s="126"/>
      <c r="G35" s="131" t="s">
        <v>158</v>
      </c>
      <c r="I35" s="84">
        <f>+I21</f>
        <v>2500</v>
      </c>
      <c r="J35" s="130">
        <f t="shared" si="1"/>
        <v>-886.01000000000022</v>
      </c>
      <c r="N35" s="45"/>
    </row>
    <row r="36" spans="1:14" x14ac:dyDescent="0.25">
      <c r="A36" s="119" t="s">
        <v>149</v>
      </c>
      <c r="B36" s="78" t="s">
        <v>208</v>
      </c>
      <c r="C36" s="85" t="s">
        <v>209</v>
      </c>
      <c r="D36" s="97"/>
      <c r="E36" s="120">
        <f>+E22+E23+E24+E25+E26+E27</f>
        <v>20650</v>
      </c>
      <c r="F36" s="126"/>
      <c r="G36" s="132" t="s">
        <v>149</v>
      </c>
      <c r="I36" s="81">
        <f>+I22+I23+I24+I25+I26+I27</f>
        <v>3150</v>
      </c>
      <c r="J36" s="133">
        <f t="shared" si="1"/>
        <v>23800</v>
      </c>
      <c r="N36" s="45"/>
    </row>
    <row r="37" spans="1:14" ht="15.75" thickBot="1" x14ac:dyDescent="0.3">
      <c r="A37" s="121"/>
      <c r="B37" s="122"/>
      <c r="C37" s="122"/>
      <c r="D37" s="123"/>
      <c r="E37" s="124">
        <f>SUM(E32:E36)</f>
        <v>97190.790000000008</v>
      </c>
      <c r="F37" s="126"/>
      <c r="G37" s="134"/>
      <c r="H37" s="135" t="s">
        <v>60</v>
      </c>
      <c r="I37" s="136">
        <f>SUM(I32:I36)</f>
        <v>21775</v>
      </c>
      <c r="J37" s="169">
        <f>SUM(J32:J36)</f>
        <v>117422.79000000001</v>
      </c>
      <c r="N37" s="45"/>
    </row>
    <row r="38" spans="1:14" x14ac:dyDescent="0.25">
      <c r="A38" s="109"/>
      <c r="B38" s="76"/>
      <c r="C38" s="76"/>
      <c r="D38" s="89"/>
      <c r="E38" s="89"/>
      <c r="G38" s="89"/>
      <c r="H38" s="89"/>
      <c r="I38" s="89"/>
      <c r="J38" s="172"/>
      <c r="N38" s="98"/>
    </row>
    <row r="39" spans="1:14" ht="21.75" thickBot="1" x14ac:dyDescent="0.3">
      <c r="A39" s="106"/>
      <c r="B39" s="107" t="s">
        <v>215</v>
      </c>
      <c r="C39" s="5"/>
      <c r="D39" s="2"/>
      <c r="E39" s="2"/>
      <c r="F39" s="2"/>
      <c r="G39" s="2"/>
      <c r="H39" s="2"/>
      <c r="I39" s="81"/>
      <c r="J39" s="81"/>
    </row>
    <row r="40" spans="1:14" x14ac:dyDescent="0.25">
      <c r="A40" s="143" t="s">
        <v>150</v>
      </c>
      <c r="B40" s="144" t="s">
        <v>159</v>
      </c>
      <c r="C40" s="150"/>
      <c r="D40" s="2"/>
      <c r="E40" s="2"/>
      <c r="F40" s="2"/>
      <c r="G40" s="157" t="s">
        <v>225</v>
      </c>
      <c r="H40" s="158"/>
      <c r="I40" s="128"/>
      <c r="J40" s="128"/>
      <c r="K40" s="54"/>
      <c r="L40" s="54"/>
      <c r="M40" s="159"/>
    </row>
    <row r="41" spans="1:14" ht="15.75" thickBot="1" x14ac:dyDescent="0.3">
      <c r="A41" s="145" t="s">
        <v>156</v>
      </c>
      <c r="B41" s="59" t="s">
        <v>160</v>
      </c>
      <c r="C41" s="151"/>
      <c r="D41" s="2"/>
      <c r="E41" s="2"/>
      <c r="F41" s="2"/>
      <c r="G41" s="160" t="s">
        <v>224</v>
      </c>
      <c r="H41" s="161"/>
      <c r="I41" s="135"/>
      <c r="J41" s="135"/>
      <c r="K41" s="55"/>
      <c r="L41" s="55"/>
      <c r="M41" s="162"/>
    </row>
    <row r="42" spans="1:14" x14ac:dyDescent="0.25">
      <c r="A42" s="146" t="s">
        <v>157</v>
      </c>
      <c r="B42" s="67" t="s">
        <v>161</v>
      </c>
      <c r="C42" s="152"/>
      <c r="D42" s="2"/>
      <c r="E42" s="2"/>
      <c r="F42" s="2"/>
      <c r="G42" s="2"/>
      <c r="H42" s="2"/>
      <c r="I42" s="89"/>
      <c r="J42" s="89"/>
    </row>
    <row r="43" spans="1:14" x14ac:dyDescent="0.25">
      <c r="A43" s="147" t="s">
        <v>158</v>
      </c>
      <c r="B43" s="69" t="s">
        <v>162</v>
      </c>
      <c r="C43" s="153"/>
      <c r="D43" s="2"/>
      <c r="E43" s="2"/>
      <c r="F43" s="2"/>
      <c r="G43" s="2"/>
      <c r="H43" s="2"/>
    </row>
    <row r="44" spans="1:14" ht="15.75" thickBot="1" x14ac:dyDescent="0.3">
      <c r="A44" s="148" t="s">
        <v>149</v>
      </c>
      <c r="B44" s="149" t="s">
        <v>153</v>
      </c>
      <c r="C44" s="154"/>
      <c r="D44" s="2"/>
      <c r="E44" s="2"/>
      <c r="F44" s="2"/>
      <c r="G44" s="2"/>
      <c r="H44" s="2"/>
    </row>
    <row r="45" spans="1:14" x14ac:dyDescent="0.25">
      <c r="A45" s="76"/>
      <c r="B45" s="76"/>
      <c r="C45" s="76"/>
      <c r="H45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MJOP 20 jaar</vt:lpstr>
      <vt:lpstr>Reserves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Plan-O ""</dc:title>
  <dc:subject/>
  <dc:creator>Plan-O</dc:creator>
  <cp:keywords/>
  <dc:description/>
  <cp:lastModifiedBy>Henk Pauw</cp:lastModifiedBy>
  <cp:lastPrinted>2022-11-07T17:05:09Z</cp:lastPrinted>
  <dcterms:created xsi:type="dcterms:W3CDTF">2022-02-09T10:43:07Z</dcterms:created>
  <dcterms:modified xsi:type="dcterms:W3CDTF">2022-11-14T09:06:50Z</dcterms:modified>
  <cp:category/>
</cp:coreProperties>
</file>